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marketing_projects/Collateral/Punching/Misc Punching Needs/Punching Force Calculator/"/>
    </mc:Choice>
  </mc:AlternateContent>
  <xr:revisionPtr revIDLastSave="0" documentId="13_ncr:1_{0B0DE20B-BAB0-5D49-B6E1-FDF0D951DF1F}" xr6:coauthVersionLast="45" xr6:coauthVersionMax="45" xr10:uidLastSave="{00000000-0000-0000-0000-000000000000}"/>
  <workbookProtection lockStructure="1"/>
  <bookViews>
    <workbookView showHorizontalScroll="0" showVerticalScroll="0" xWindow="1720" yWindow="440" windowWidth="40120" windowHeight="25140" tabRatio="236" xr2:uid="{00000000-000D-0000-FFFF-FFFF00000000}"/>
  </bookViews>
  <sheets>
    <sheet name="US units" sheetId="22" r:id="rId1"/>
    <sheet name="Metric units" sheetId="23" r:id="rId2"/>
    <sheet name="Sheet1" sheetId="14" state="hidden" r:id="rId3"/>
    <sheet name="Revision History" sheetId="7" state="hidden" r:id="rId4"/>
    <sheet name="Countersinks" sheetId="8" state="hidden" r:id="rId5"/>
    <sheet name="Module1" sheetId="9" state="veryHidden" r:id="rId6"/>
    <sheet name="Module7" sheetId="10" state="veryHidden" r:id="rId7"/>
    <sheet name="Module3" sheetId="11" state="veryHidden" r:id="rId8"/>
    <sheet name="Module5" sheetId="12" state="veryHidden" r:id="rId9"/>
    <sheet name="Module2" sheetId="13" state="veryHidden" r:id="rId10"/>
  </sheets>
  <definedNames>
    <definedName name="_xlnm.Print_Area" localSheetId="4">Countersinks!$B$2:$E$42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3" l="1"/>
  <c r="N41" i="23" l="1"/>
  <c r="C14" i="23" s="1"/>
  <c r="N38" i="23"/>
  <c r="N35" i="23"/>
  <c r="N33" i="23"/>
  <c r="N30" i="23"/>
  <c r="N27" i="23"/>
  <c r="N25" i="23"/>
  <c r="M23" i="23"/>
  <c r="N23" i="23" s="1"/>
  <c r="M22" i="23"/>
  <c r="N22" i="23" s="1"/>
  <c r="M21" i="23"/>
  <c r="N21" i="23" s="1"/>
  <c r="M20" i="23"/>
  <c r="N20" i="23" s="1"/>
  <c r="M19" i="23"/>
  <c r="N19" i="23" s="1"/>
  <c r="M18" i="23"/>
  <c r="N18" i="23" s="1"/>
  <c r="M17" i="23"/>
  <c r="N17" i="23" s="1"/>
  <c r="M16" i="23"/>
  <c r="N16" i="23" s="1"/>
  <c r="M15" i="23"/>
  <c r="N15" i="23" s="1"/>
  <c r="M14" i="23"/>
  <c r="N14" i="23" s="1"/>
  <c r="M13" i="23"/>
  <c r="N13" i="23" s="1"/>
  <c r="M12" i="23"/>
  <c r="N12" i="23" s="1"/>
  <c r="M11" i="23"/>
  <c r="N11" i="23" s="1"/>
  <c r="M10" i="23"/>
  <c r="N10" i="23" s="1"/>
  <c r="M9" i="23"/>
  <c r="N9" i="23" s="1"/>
  <c r="M8" i="23"/>
  <c r="N8" i="23" s="1"/>
  <c r="M24" i="23"/>
  <c r="N24" i="23" s="1"/>
  <c r="M26" i="23"/>
  <c r="N26" i="23" s="1"/>
  <c r="M27" i="23"/>
  <c r="M28" i="23"/>
  <c r="N28" i="23" s="1"/>
  <c r="M29" i="23"/>
  <c r="N29" i="23" s="1"/>
  <c r="M30" i="23"/>
  <c r="M31" i="23"/>
  <c r="N31" i="23" s="1"/>
  <c r="M32" i="23"/>
  <c r="N32" i="23" s="1"/>
  <c r="M33" i="23"/>
  <c r="M34" i="23"/>
  <c r="N34" i="23" s="1"/>
  <c r="M35" i="23"/>
  <c r="M36" i="23"/>
  <c r="N36" i="23" s="1"/>
  <c r="M37" i="23"/>
  <c r="N37" i="23" s="1"/>
  <c r="M38" i="23"/>
  <c r="M39" i="23"/>
  <c r="N39" i="23" s="1"/>
  <c r="M40" i="23"/>
  <c r="N40" i="23" s="1"/>
  <c r="M42" i="23"/>
  <c r="N42" i="23" s="1"/>
  <c r="H35" i="23"/>
  <c r="H34" i="23"/>
  <c r="H33" i="23"/>
  <c r="H32" i="23"/>
  <c r="H31" i="23"/>
  <c r="H30" i="23"/>
  <c r="C21" i="23" s="1"/>
  <c r="H29" i="23"/>
  <c r="H28" i="23"/>
  <c r="H27" i="23"/>
  <c r="M25" i="23"/>
  <c r="B20" i="23"/>
  <c r="B19" i="23"/>
  <c r="C13" i="23"/>
  <c r="B12" i="23"/>
  <c r="H33" i="22" l="1"/>
  <c r="H30" i="22"/>
  <c r="H29" i="22"/>
  <c r="H32" i="22"/>
  <c r="B12" i="22"/>
  <c r="H34" i="22"/>
  <c r="H27" i="22"/>
  <c r="H31" i="22"/>
  <c r="H28" i="22"/>
  <c r="C13" i="22"/>
  <c r="N8" i="22"/>
  <c r="M25" i="22"/>
  <c r="N25" i="22" s="1"/>
  <c r="N41" i="22"/>
  <c r="N24" i="22"/>
  <c r="N42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H35" i="22"/>
  <c r="B19" i="22"/>
  <c r="B20" i="22"/>
  <c r="M6" i="8"/>
  <c r="N8" i="8"/>
  <c r="H9" i="8"/>
  <c r="H13" i="8"/>
  <c r="C14" i="8" s="1"/>
  <c r="K16" i="8"/>
  <c r="B9" i="8" s="1"/>
  <c r="B8" i="8"/>
  <c r="M3" i="14"/>
  <c r="K3" i="14"/>
  <c r="P3" i="14"/>
  <c r="O2" i="14"/>
  <c r="P2" i="14" s="1"/>
  <c r="O13" i="14"/>
  <c r="O7" i="14"/>
  <c r="O11" i="14"/>
  <c r="L4" i="14"/>
  <c r="M4" i="14"/>
  <c r="K4" i="14"/>
  <c r="L3" i="14"/>
  <c r="I10" i="14"/>
  <c r="I11" i="14"/>
  <c r="F3" i="14"/>
  <c r="F8" i="14" s="1"/>
  <c r="A1" i="14" s="1"/>
  <c r="F7" i="14"/>
  <c r="K17" i="8" l="1"/>
  <c r="K19" i="8" s="1"/>
  <c r="C13" i="8" s="1"/>
  <c r="C21" i="22"/>
  <c r="C14" i="22"/>
  <c r="C11" i="8" l="1"/>
  <c r="C12" i="8" s="1"/>
  <c r="C16" i="8" s="1"/>
  <c r="E2" i="8" s="1"/>
  <c r="E3" i="8" l="1"/>
  <c r="E12" i="8" s="1"/>
  <c r="E4" i="8"/>
  <c r="E11" i="8"/>
  <c r="E5" i="8" l="1"/>
  <c r="E14" i="8" s="1"/>
  <c r="E16" i="8"/>
  <c r="E6" i="8"/>
  <c r="E13" i="8" s="1"/>
  <c r="E7" i="8"/>
  <c r="C18" i="8"/>
  <c r="E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J Tacheny</author>
  </authors>
  <commentList>
    <comment ref="C11" authorId="0" shapeId="0" xr:uid="{00000000-0006-0000-0000-000001000000}">
      <text>
        <r>
          <rPr>
            <b/>
            <sz val="12"/>
            <color rgb="FF000000"/>
            <rFont val="Tahoma"/>
            <family val="2"/>
          </rPr>
          <t>Select Material</t>
        </r>
      </text>
    </comment>
    <comment ref="C12" authorId="0" shapeId="0" xr:uid="{00000000-0006-0000-0000-000002000000}">
      <text>
        <r>
          <rPr>
            <b/>
            <sz val="12"/>
            <color rgb="FF000000"/>
            <rFont val="Tahoma"/>
            <family val="2"/>
          </rPr>
          <t>When you select "Other" as your material you need to enter a Shear Strength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8" authorId="0" shapeId="0" xr:uid="{00000000-0006-0000-0000-000003000000}">
      <text>
        <r>
          <rPr>
            <b/>
            <sz val="12"/>
            <color rgb="FF000000"/>
            <rFont val="Tahoma"/>
            <family val="2"/>
          </rPr>
          <t>Select Standard Shape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J Tacheny</author>
  </authors>
  <commentList>
    <comment ref="C11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Select Material</t>
        </r>
      </text>
    </comment>
    <comment ref="C12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When you select "Other" as your material you need to enter a Shear Strength</t>
        </r>
      </text>
    </comment>
    <comment ref="C18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Select Standard Shape</t>
        </r>
      </text>
    </comment>
    <comment ref="C20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>When needed this value must be smaller than the first value entered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<sst xmlns="http://schemas.openxmlformats.org/spreadsheetml/2006/main" count="268" uniqueCount="149">
  <si>
    <t>Mild Steel</t>
  </si>
  <si>
    <t>Aluminium</t>
  </si>
  <si>
    <t>Matl.Thks Table</t>
  </si>
  <si>
    <t>Matl Type Table</t>
  </si>
  <si>
    <t>Stainess Steel</t>
  </si>
  <si>
    <t>Round</t>
  </si>
  <si>
    <t>Square</t>
  </si>
  <si>
    <t>Obround</t>
  </si>
  <si>
    <t>Hexagon</t>
  </si>
  <si>
    <t>Material Thks</t>
  </si>
  <si>
    <t>Matl.Thks.Code</t>
  </si>
  <si>
    <t>Comments</t>
  </si>
  <si>
    <t>Date</t>
  </si>
  <si>
    <t>Initial release</t>
  </si>
  <si>
    <t>over-tonnage page added. hexagon &amp; octogon geometry added, tonnage calculation enhanced</t>
  </si>
  <si>
    <t>countersink enhanced + blanking sheet added+ converted to Metric Tonnes</t>
  </si>
  <si>
    <t>Reach sheet added</t>
  </si>
  <si>
    <t>Station Finder sheet added</t>
  </si>
  <si>
    <t>in-range / over range calculation corrected + Drop down menus added + C/snk pre-pierce changed to (min + ((maj-min)*0.33))</t>
  </si>
  <si>
    <t>Requested Countersink</t>
  </si>
  <si>
    <t>Major Diameter [mm]</t>
  </si>
  <si>
    <t>80 Degrees</t>
  </si>
  <si>
    <t>Minor Diameter [mm]</t>
  </si>
  <si>
    <t>82 Degrees</t>
  </si>
  <si>
    <t>Standard Angle</t>
  </si>
  <si>
    <t>90 Degrees</t>
  </si>
  <si>
    <t>Material Thickness [mm]</t>
  </si>
  <si>
    <t>100 Degrees</t>
  </si>
  <si>
    <t>110 Degrees</t>
  </si>
  <si>
    <t>120 Degrees</t>
  </si>
  <si>
    <t>other (specify below)</t>
  </si>
  <si>
    <t xml:space="preserve"> </t>
  </si>
  <si>
    <t>Theoretical Max Depth %</t>
  </si>
  <si>
    <t>Theoretical Max Depth [mm]</t>
  </si>
  <si>
    <t>Actual Depth %</t>
  </si>
  <si>
    <t>Angle</t>
  </si>
  <si>
    <t>Actual Depth [mm]</t>
  </si>
  <si>
    <t>Feasability test:</t>
  </si>
  <si>
    <t>Suggested Pre-Pierce</t>
  </si>
  <si>
    <t>Matl.Thks</t>
  </si>
  <si>
    <t>Customer:</t>
  </si>
  <si>
    <t>Machine:</t>
  </si>
  <si>
    <t>Order Number:</t>
  </si>
  <si>
    <t>Etch No:</t>
  </si>
  <si>
    <t>Updated to office 2000. Some conditional formatting included.</t>
  </si>
  <si>
    <t>Material Type</t>
  </si>
  <si>
    <t>Cantilevers corrected, KN tonnage added, MT™ added, more conditional formating, v-basic dropdown lists replaced with cell validation</t>
  </si>
  <si>
    <t>angle list</t>
  </si>
  <si>
    <t>Countersink Worksheet</t>
  </si>
  <si>
    <t>a</t>
  </si>
  <si>
    <t>b</t>
  </si>
  <si>
    <t>c</t>
  </si>
  <si>
    <t>Enter 1 or 2 Dimensions</t>
  </si>
  <si>
    <t>enter another dimension, or an angle</t>
  </si>
  <si>
    <t>Enter an Angle</t>
  </si>
  <si>
    <t>X</t>
  </si>
  <si>
    <t>Y</t>
  </si>
  <si>
    <t>Z</t>
  </si>
  <si>
    <t>instruction list</t>
  </si>
  <si>
    <t>enter a dimension</t>
  </si>
  <si>
    <t>See results</t>
  </si>
  <si>
    <t>Error Codes</t>
  </si>
  <si>
    <t>sum of angles</t>
  </si>
  <si>
    <t>sum of sides</t>
  </si>
  <si>
    <t>Entering more than two variable may cause a conflict</t>
  </si>
  <si>
    <t>OP</t>
  </si>
  <si>
    <t>HYP</t>
  </si>
  <si>
    <t>ADJ</t>
  </si>
  <si>
    <t>Rectangle</t>
  </si>
  <si>
    <t>Long"D"</t>
  </si>
  <si>
    <t>Octagon</t>
  </si>
  <si>
    <t>Quad "D"</t>
  </si>
  <si>
    <t>Perimeter
(Land Distance)</t>
  </si>
  <si>
    <t>Material
Multiplication
Factor</t>
  </si>
  <si>
    <t>Aluminum-Soft Sheet</t>
  </si>
  <si>
    <t>Aluminum-Half Hard</t>
  </si>
  <si>
    <t>Aluminum Hard</t>
  </si>
  <si>
    <t>Brass-Soft Sheet</t>
  </si>
  <si>
    <t>Brass-Half Hard</t>
  </si>
  <si>
    <t>Copper-Rolled</t>
  </si>
  <si>
    <t>Steel-Mild</t>
  </si>
  <si>
    <t>Steel-ASTM-A36</t>
  </si>
  <si>
    <t>Steel-50 Carbon</t>
  </si>
  <si>
    <t>Steel-Cold Drawn</t>
  </si>
  <si>
    <t>Steel-Stainless</t>
  </si>
  <si>
    <t>Select Material</t>
  </si>
  <si>
    <t>Steel-Spring (Tempered)</t>
  </si>
  <si>
    <t>Piercing
Tonnage (US)</t>
  </si>
  <si>
    <t>Perimeter (in)
(Land Distance)</t>
  </si>
  <si>
    <t>Material
Thickness (in)</t>
  </si>
  <si>
    <t>Aluminum (5005-H18 )</t>
  </si>
  <si>
    <t>Aluminum (6061-T4 )</t>
  </si>
  <si>
    <t>Aluminum (6061-T6 )</t>
  </si>
  <si>
    <t>Brass (Rolled Sheet-Soft )</t>
  </si>
  <si>
    <t>Brass (1/2 Hard )</t>
  </si>
  <si>
    <t>Brass (Hard )</t>
  </si>
  <si>
    <t>Copper (1/4 Hard )</t>
  </si>
  <si>
    <t>Copper (Hard )</t>
  </si>
  <si>
    <t>Steel (Mild Steel )</t>
  </si>
  <si>
    <t>Steel (40-50 Carbon )</t>
  </si>
  <si>
    <t>Steel (Structural A-36 )</t>
  </si>
  <si>
    <t>Steel ( Grade 42 [ASTM-A572])</t>
  </si>
  <si>
    <t>Steel (Grade 45 )</t>
  </si>
  <si>
    <t>Steel (Grade 50 )</t>
  </si>
  <si>
    <t>Steel (Grade 55 )</t>
  </si>
  <si>
    <t>Steel (Grade 60 )</t>
  </si>
  <si>
    <t>Steel (Grade 65 )</t>
  </si>
  <si>
    <t>Steel (ASTM-A242)</t>
  </si>
  <si>
    <t>Steel (Cold Rolled C-1018)</t>
  </si>
  <si>
    <t>Steel (Hot Rolled C-1050)</t>
  </si>
  <si>
    <t>Steel (Hot Rolled C-1095)</t>
  </si>
  <si>
    <t>Steel (Hot Rolled C-1095 Annealed)</t>
  </si>
  <si>
    <t>Stainless Steel (302 Annealed)</t>
  </si>
  <si>
    <t>HSLA (ASTM A656 – Grade 80)</t>
  </si>
  <si>
    <t>Original WT Data</t>
  </si>
  <si>
    <t>Scott's Expanded Data</t>
  </si>
  <si>
    <t>Aluminum (3003-0)</t>
  </si>
  <si>
    <t>Aluminum (3003-H14, H16)</t>
  </si>
  <si>
    <t>Aluminum (3105-H25)</t>
  </si>
  <si>
    <t>Aluminum (5005-H34)</t>
  </si>
  <si>
    <t>Aluminum (5052-0)</t>
  </si>
  <si>
    <t>Aluminum (5052-H32)</t>
  </si>
  <si>
    <t>Aluminum (6061-0)</t>
  </si>
  <si>
    <t>Aluminum (6061-T6)</t>
  </si>
  <si>
    <t>Select Shape</t>
  </si>
  <si>
    <t>Enter</t>
  </si>
  <si>
    <t>Enter Diameter</t>
  </si>
  <si>
    <t>Enter Width</t>
  </si>
  <si>
    <t>Enter Length</t>
  </si>
  <si>
    <t>Enter Flat Length</t>
  </si>
  <si>
    <t>Enter Across Flats</t>
  </si>
  <si>
    <t>Formula</t>
  </si>
  <si>
    <t>Equilateral Triangle</t>
  </si>
  <si>
    <t>Chart Multiplier</t>
  </si>
  <si>
    <t>Shear Strength (PSI)</t>
  </si>
  <si>
    <t>Calculated Shear Tonnage</t>
  </si>
  <si>
    <t>Other</t>
  </si>
  <si>
    <t>Enter Overall Length</t>
  </si>
  <si>
    <t>Stainless Steel (304 Cold Rolled)</t>
  </si>
  <si>
    <t>Stainless Steel (316 Cold Rolled)</t>
  </si>
  <si>
    <t>Base</t>
  </si>
  <si>
    <t>Approximate Shear
Strength of Material (Mpa)</t>
  </si>
  <si>
    <t>Approximate Shear
Strength of Material (psi)</t>
  </si>
  <si>
    <t>Perimeter (mm)
(Land Distance)</t>
  </si>
  <si>
    <t>Piercing
Tonnage (Metric tons)</t>
  </si>
  <si>
    <t>Material
Thickness (mm)</t>
  </si>
  <si>
    <t xml:space="preserve">STANDARD SHAPE PERIMETER CALCULATOR (Land Distance) </t>
  </si>
  <si>
    <t>PIERCING TONNAGE CALCULATOR (Metric Units)</t>
  </si>
  <si>
    <t>PIERCING TONNAGE CALCULATOR (US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</si>
</sst>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u/>
      <sz val="16"/>
      <color indexed="10"/>
      <name val="Arial Black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7.5"/>
      <color theme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Lucida Grande"/>
      <family val="2"/>
    </font>
    <font>
      <sz val="16"/>
      <name val="Arial"/>
      <family val="2"/>
    </font>
    <font>
      <b/>
      <sz val="12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b/>
      <sz val="18"/>
      <color theme="0"/>
      <name val="Arial"/>
      <family val="2"/>
    </font>
    <font>
      <b/>
      <sz val="16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DB4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7" fontId="0" fillId="0" borderId="0" xfId="0" applyNumberFormat="1" applyAlignment="1">
      <alignment vertical="top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top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0" xfId="0" applyFill="1" applyAlignment="1" applyProtection="1">
      <alignment horizontal="center"/>
      <protection locked="0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0" fillId="0" borderId="1" xfId="0" applyFill="1" applyBorder="1" applyProtection="1"/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165" fontId="0" fillId="0" borderId="7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/>
    </xf>
    <xf numFmtId="2" fontId="3" fillId="0" borderId="0" xfId="0" applyNumberFormat="1" applyFont="1" applyFill="1" applyBorder="1" applyAlignment="1" applyProtection="1">
      <alignment horizontal="center"/>
    </xf>
    <xf numFmtId="9" fontId="0" fillId="0" borderId="0" xfId="4" applyFont="1" applyFill="1" applyAlignment="1" applyProtection="1">
      <alignment horizontal="center"/>
    </xf>
    <xf numFmtId="2" fontId="0" fillId="0" borderId="0" xfId="0" applyNumberFormat="1" applyFill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0" xfId="0" applyFill="1" applyBorder="1" applyProtection="1"/>
    <xf numFmtId="0" fontId="5" fillId="0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</xf>
    <xf numFmtId="2" fontId="3" fillId="2" borderId="11" xfId="0" applyNumberFormat="1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2" fontId="3" fillId="2" borderId="12" xfId="0" applyNumberFormat="1" applyFont="1" applyFill="1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2" fontId="2" fillId="2" borderId="12" xfId="0" applyNumberFormat="1" applyFont="1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64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/>
    </xf>
    <xf numFmtId="0" fontId="19" fillId="3" borderId="0" xfId="3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vertical="center" wrapText="1"/>
    </xf>
    <xf numFmtId="0" fontId="20" fillId="3" borderId="0" xfId="3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 vertical="center"/>
    </xf>
    <xf numFmtId="3" fontId="20" fillId="3" borderId="0" xfId="3" applyNumberFormat="1" applyFont="1" applyFill="1" applyBorder="1" applyAlignment="1">
      <alignment horizontal="center"/>
    </xf>
    <xf numFmtId="2" fontId="20" fillId="3" borderId="0" xfId="3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23" fillId="3" borderId="0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 applyProtection="1">
      <alignment horizontal="center" vertical="center"/>
    </xf>
    <xf numFmtId="0" fontId="22" fillId="3" borderId="0" xfId="3" applyFont="1" applyFill="1" applyBorder="1" applyAlignment="1" applyProtection="1">
      <alignment horizontal="left"/>
    </xf>
    <xf numFmtId="2" fontId="23" fillId="3" borderId="0" xfId="0" applyNumberFormat="1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left" vertical="center"/>
    </xf>
    <xf numFmtId="0" fontId="23" fillId="3" borderId="0" xfId="0" applyFont="1" applyFill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20" fillId="4" borderId="0" xfId="3" applyFont="1" applyFill="1" applyBorder="1" applyAlignment="1">
      <alignment horizontal="center"/>
    </xf>
    <xf numFmtId="3" fontId="20" fillId="4" borderId="0" xfId="3" applyNumberFormat="1" applyFont="1" applyFill="1" applyBorder="1" applyAlignment="1">
      <alignment horizontal="center"/>
    </xf>
    <xf numFmtId="2" fontId="10" fillId="4" borderId="0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0" borderId="1" xfId="0" applyNumberFormat="1" applyFont="1" applyFill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</cellStyles>
  <dxfs count="10">
    <dxf>
      <fill>
        <patternFill>
          <bgColor indexed="2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2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5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2255007</xdr:colOff>
      <xdr:row>2</xdr:row>
      <xdr:rowOff>113975</xdr:rowOff>
    </xdr:from>
    <xdr:to>
      <xdr:col>2</xdr:col>
      <xdr:colOff>2402685</xdr:colOff>
      <xdr:row>5</xdr:row>
      <xdr:rowOff>164775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55135" y="439616"/>
          <a:ext cx="325755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2426026</xdr:colOff>
      <xdr:row>2</xdr:row>
      <xdr:rowOff>97692</xdr:rowOff>
    </xdr:from>
    <xdr:to>
      <xdr:col>2</xdr:col>
      <xdr:colOff>2573704</xdr:colOff>
      <xdr:row>5</xdr:row>
      <xdr:rowOff>148492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4D1CA7-8C18-5A4F-8DA9-43FA5F4EF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126154" y="423333"/>
          <a:ext cx="325755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12</xdr:row>
      <xdr:rowOff>0</xdr:rowOff>
    </xdr:from>
    <xdr:to>
      <xdr:col>7</xdr:col>
      <xdr:colOff>266700</xdr:colOff>
      <xdr:row>23</xdr:row>
      <xdr:rowOff>12700</xdr:rowOff>
    </xdr:to>
    <xdr:sp macro="" textlink="">
      <xdr:nvSpPr>
        <xdr:cNvPr id="8330" name="AutoShape 1">
          <a:extLst>
            <a:ext uri="{FF2B5EF4-FFF2-40B4-BE49-F238E27FC236}">
              <a16:creationId xmlns:a16="http://schemas.microsoft.com/office/drawing/2014/main" id="{00000000-0008-0000-0200-00008A200000}"/>
            </a:ext>
          </a:extLst>
        </xdr:cNvPr>
        <xdr:cNvSpPr>
          <a:spLocks noChangeArrowheads="1"/>
        </xdr:cNvSpPr>
      </xdr:nvSpPr>
      <xdr:spPr bwMode="auto">
        <a:xfrm>
          <a:off x="4559300" y="1828800"/>
          <a:ext cx="1498600" cy="1689100"/>
        </a:xfrm>
        <a:prstGeom prst="rtTriangl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18</xdr:row>
          <xdr:rowOff>139700</xdr:rowOff>
        </xdr:from>
        <xdr:to>
          <xdr:col>4</xdr:col>
          <xdr:colOff>1346200</xdr:colOff>
          <xdr:row>36</xdr:row>
          <xdr:rowOff>139700</xdr:rowOff>
        </xdr:to>
        <xdr:sp macro="" textlink="">
          <xdr:nvSpPr>
            <xdr:cNvPr id="7173" name="Picture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88900</xdr:colOff>
          <xdr:row>7</xdr:row>
          <xdr:rowOff>50800</xdr:rowOff>
        </xdr:from>
        <xdr:to>
          <xdr:col>4</xdr:col>
          <xdr:colOff>2082800</xdr:colOff>
          <xdr:row>8</xdr:row>
          <xdr:rowOff>190500</xdr:rowOff>
        </xdr:to>
        <xdr:sp macro="" textlink="">
          <xdr:nvSpPr>
            <xdr:cNvPr id="7179" name="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4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AE42"/>
  <sheetViews>
    <sheetView showRowColHeaders="0" tabSelected="1" zoomScale="78" zoomScaleNormal="78" zoomScalePageLayoutView="78" workbookViewId="0">
      <selection activeCell="C9" sqref="C9"/>
    </sheetView>
  </sheetViews>
  <sheetFormatPr baseColWidth="10" defaultColWidth="9.1640625" defaultRowHeight="13" x14ac:dyDescent="0.15"/>
  <cols>
    <col min="1" max="1" width="9.1640625" style="59"/>
    <col min="2" max="2" width="40.83203125" style="59" bestFit="1" customWidth="1"/>
    <col min="3" max="3" width="63.1640625" style="59" bestFit="1" customWidth="1"/>
    <col min="4" max="4" width="11.5" style="79" customWidth="1"/>
    <col min="5" max="5" width="17.5" style="61" hidden="1" customWidth="1"/>
    <col min="6" max="6" width="18.5" style="61" hidden="1" customWidth="1"/>
    <col min="7" max="7" width="11.83203125" style="61" hidden="1" customWidth="1"/>
    <col min="8" max="8" width="28" style="61" hidden="1" customWidth="1"/>
    <col min="9" max="9" width="22.5" style="61" hidden="1" customWidth="1"/>
    <col min="10" max="10" width="12.33203125" style="61" hidden="1" customWidth="1"/>
    <col min="11" max="11" width="32.6640625" style="61" hidden="1" customWidth="1"/>
    <col min="12" max="12" width="15.33203125" style="61" hidden="1" customWidth="1"/>
    <col min="13" max="13" width="18.83203125" style="61" hidden="1" customWidth="1"/>
    <col min="14" max="14" width="24.5" style="61" hidden="1" customWidth="1"/>
    <col min="15" max="31" width="9.1640625" style="61" hidden="1" customWidth="1"/>
    <col min="32" max="32" width="9.1640625" style="59" customWidth="1"/>
    <col min="33" max="16384" width="9.1640625" style="59"/>
  </cols>
  <sheetData>
    <row r="3" spans="2:14" ht="17.25" customHeight="1" x14ac:dyDescent="0.15">
      <c r="D3" s="78"/>
    </row>
    <row r="4" spans="2:14" ht="17.25" customHeight="1" x14ac:dyDescent="0.15">
      <c r="D4" s="78"/>
    </row>
    <row r="5" spans="2:14" ht="17.25" customHeight="1" x14ac:dyDescent="0.15">
      <c r="D5" s="78"/>
    </row>
    <row r="6" spans="2:14" ht="17.25" customHeight="1" x14ac:dyDescent="0.15">
      <c r="D6" s="78"/>
    </row>
    <row r="7" spans="2:14" ht="20.25" customHeight="1" x14ac:dyDescent="0.2">
      <c r="D7" s="78"/>
      <c r="I7" s="68" t="s">
        <v>114</v>
      </c>
      <c r="K7" s="69" t="s">
        <v>115</v>
      </c>
      <c r="L7" s="70" t="s">
        <v>133</v>
      </c>
      <c r="M7" s="70" t="s">
        <v>134</v>
      </c>
      <c r="N7" s="61" t="s">
        <v>135</v>
      </c>
    </row>
    <row r="8" spans="2:14" ht="44.25" customHeight="1" x14ac:dyDescent="0.2">
      <c r="B8" s="96" t="s">
        <v>148</v>
      </c>
      <c r="C8" s="97"/>
      <c r="D8" s="78"/>
      <c r="I8" s="61" t="s">
        <v>85</v>
      </c>
      <c r="J8" s="71" t="s">
        <v>73</v>
      </c>
      <c r="K8" s="72" t="s">
        <v>116</v>
      </c>
      <c r="L8" s="72">
        <v>0.22</v>
      </c>
      <c r="M8" s="72">
        <v>11000</v>
      </c>
      <c r="N8" s="73">
        <f>$C$9*$C$10*(M8)/2000</f>
        <v>2.15984494935</v>
      </c>
    </row>
    <row r="9" spans="2:14" ht="44.25" customHeight="1" x14ac:dyDescent="0.2">
      <c r="B9" s="98" t="s">
        <v>88</v>
      </c>
      <c r="C9" s="65">
        <v>3.1415926536000001</v>
      </c>
      <c r="D9" s="80"/>
      <c r="I9" s="61" t="s">
        <v>76</v>
      </c>
      <c r="J9" s="73">
        <v>0.5</v>
      </c>
      <c r="K9" s="72" t="s">
        <v>117</v>
      </c>
      <c r="L9" s="72">
        <v>0.3</v>
      </c>
      <c r="M9" s="72">
        <v>15000</v>
      </c>
      <c r="N9" s="73">
        <f t="shared" ref="N9:N42" si="0">$C$9*$C$10*(M9)/2000</f>
        <v>2.9452431127500001</v>
      </c>
    </row>
    <row r="10" spans="2:14" ht="44.25" customHeight="1" x14ac:dyDescent="0.2">
      <c r="B10" s="98" t="s">
        <v>89</v>
      </c>
      <c r="C10" s="65">
        <v>0.125</v>
      </c>
      <c r="D10" s="80"/>
      <c r="I10" s="61" t="s">
        <v>75</v>
      </c>
      <c r="J10" s="73">
        <v>0.38</v>
      </c>
      <c r="K10" s="72" t="s">
        <v>118</v>
      </c>
      <c r="L10" s="72">
        <v>0.32</v>
      </c>
      <c r="M10" s="72">
        <v>16000</v>
      </c>
      <c r="N10" s="73">
        <f t="shared" si="0"/>
        <v>3.1415926536000001</v>
      </c>
    </row>
    <row r="11" spans="2:14" ht="24.75" customHeight="1" x14ac:dyDescent="0.2">
      <c r="B11" s="99" t="s">
        <v>85</v>
      </c>
      <c r="C11" s="66" t="s">
        <v>98</v>
      </c>
      <c r="D11" s="81"/>
      <c r="I11" s="61" t="s">
        <v>74</v>
      </c>
      <c r="J11" s="73">
        <v>0.3</v>
      </c>
      <c r="K11" s="72" t="s">
        <v>90</v>
      </c>
      <c r="L11" s="72">
        <v>0.38</v>
      </c>
      <c r="M11" s="74">
        <v>19000</v>
      </c>
      <c r="N11" s="73">
        <f t="shared" si="0"/>
        <v>3.7306412761500001</v>
      </c>
    </row>
    <row r="12" spans="2:14" ht="24.75" customHeight="1" x14ac:dyDescent="0.2">
      <c r="B12" s="100" t="str">
        <f>IF(C11="Other","Enter Shear Strength (psi)","")</f>
        <v/>
      </c>
      <c r="C12" s="62"/>
      <c r="D12" s="78"/>
      <c r="I12" s="61" t="s">
        <v>78</v>
      </c>
      <c r="J12" s="73">
        <v>0.7</v>
      </c>
      <c r="K12" s="72" t="s">
        <v>119</v>
      </c>
      <c r="L12" s="72">
        <v>0.28000000000000003</v>
      </c>
      <c r="M12" s="72">
        <v>14000</v>
      </c>
      <c r="N12" s="73">
        <f t="shared" si="0"/>
        <v>2.7488935719000001</v>
      </c>
    </row>
    <row r="13" spans="2:14" ht="44.25" customHeight="1" x14ac:dyDescent="0.2">
      <c r="B13" s="98" t="s">
        <v>142</v>
      </c>
      <c r="C13" s="63">
        <f>VLOOKUP(C11,K8:N42,3)</f>
        <v>50000</v>
      </c>
      <c r="D13" s="81"/>
      <c r="I13" s="61" t="s">
        <v>77</v>
      </c>
      <c r="J13" s="73">
        <v>0.6</v>
      </c>
      <c r="K13" s="72" t="s">
        <v>120</v>
      </c>
      <c r="L13" s="72">
        <v>0.36</v>
      </c>
      <c r="M13" s="72">
        <v>18000</v>
      </c>
      <c r="N13" s="73">
        <f t="shared" si="0"/>
        <v>3.5342917353000001</v>
      </c>
    </row>
    <row r="14" spans="2:14" ht="44.25" customHeight="1" x14ac:dyDescent="0.2">
      <c r="B14" s="98" t="s">
        <v>87</v>
      </c>
      <c r="C14" s="92">
        <f>VLOOKUP(C11,K8:N42,4)</f>
        <v>9.8174770425000002</v>
      </c>
      <c r="D14" s="82"/>
      <c r="I14" s="61" t="s">
        <v>79</v>
      </c>
      <c r="J14" s="73">
        <v>0.56999999999999995</v>
      </c>
      <c r="K14" s="72" t="s">
        <v>121</v>
      </c>
      <c r="L14" s="72">
        <v>0.4</v>
      </c>
      <c r="M14" s="72">
        <v>20000</v>
      </c>
      <c r="N14" s="73">
        <f t="shared" si="0"/>
        <v>3.9269908170000001</v>
      </c>
    </row>
    <row r="15" spans="2:14" ht="15" x14ac:dyDescent="0.2">
      <c r="D15" s="78"/>
      <c r="I15" s="61" t="s">
        <v>82</v>
      </c>
      <c r="J15" s="73">
        <v>1.4</v>
      </c>
      <c r="K15" s="72" t="s">
        <v>122</v>
      </c>
      <c r="L15" s="72">
        <v>0.24</v>
      </c>
      <c r="M15" s="72">
        <v>12000</v>
      </c>
      <c r="N15" s="73">
        <f t="shared" si="0"/>
        <v>2.3561944902</v>
      </c>
    </row>
    <row r="16" spans="2:14" ht="15" x14ac:dyDescent="0.2">
      <c r="D16" s="78"/>
      <c r="I16" s="61" t="s">
        <v>81</v>
      </c>
      <c r="J16" s="73">
        <v>1.2</v>
      </c>
      <c r="K16" s="72" t="s">
        <v>91</v>
      </c>
      <c r="L16" s="72">
        <v>0.48</v>
      </c>
      <c r="M16" s="74">
        <v>24000</v>
      </c>
      <c r="N16" s="73">
        <f t="shared" si="0"/>
        <v>4.7123889804000001</v>
      </c>
    </row>
    <row r="17" spans="2:14" ht="44.25" customHeight="1" x14ac:dyDescent="0.2">
      <c r="B17" s="101" t="s">
        <v>146</v>
      </c>
      <c r="C17" s="102"/>
      <c r="D17" s="83"/>
      <c r="I17" s="61" t="s">
        <v>83</v>
      </c>
      <c r="J17" s="73">
        <v>1.2</v>
      </c>
      <c r="K17" s="72" t="s">
        <v>92</v>
      </c>
      <c r="L17" s="72">
        <v>0.57999999999999996</v>
      </c>
      <c r="M17" s="74">
        <v>29000</v>
      </c>
      <c r="N17" s="73">
        <f t="shared" si="0"/>
        <v>5.6941366846500001</v>
      </c>
    </row>
    <row r="18" spans="2:14" ht="24.75" customHeight="1" x14ac:dyDescent="0.2">
      <c r="B18" s="98" t="s">
        <v>124</v>
      </c>
      <c r="C18" s="67" t="s">
        <v>5</v>
      </c>
      <c r="D18" s="84"/>
      <c r="I18" s="61" t="s">
        <v>80</v>
      </c>
      <c r="J18" s="73">
        <v>1</v>
      </c>
      <c r="K18" s="72" t="s">
        <v>123</v>
      </c>
      <c r="L18" s="72">
        <v>0.6</v>
      </c>
      <c r="M18" s="72">
        <v>30000</v>
      </c>
      <c r="N18" s="73">
        <f t="shared" si="0"/>
        <v>5.8904862255000001</v>
      </c>
    </row>
    <row r="19" spans="2:14" ht="24.75" customHeight="1" x14ac:dyDescent="0.2">
      <c r="B19" s="98" t="str">
        <f>VLOOKUP(C18,E27:G35,2)</f>
        <v>Enter Diameter</v>
      </c>
      <c r="C19" s="65">
        <v>1</v>
      </c>
      <c r="D19" s="80"/>
      <c r="I19" s="61" t="s">
        <v>86</v>
      </c>
      <c r="J19" s="73">
        <v>4</v>
      </c>
      <c r="K19" s="72" t="s">
        <v>94</v>
      </c>
      <c r="L19" s="72">
        <v>1.1200000000000001</v>
      </c>
      <c r="M19" s="74">
        <v>56000</v>
      </c>
      <c r="N19" s="73">
        <f t="shared" si="0"/>
        <v>10.9955742876</v>
      </c>
    </row>
    <row r="20" spans="2:14" ht="24.75" customHeight="1" x14ac:dyDescent="0.2">
      <c r="B20" s="103">
        <f>VLOOKUP(C18,E27:G35,3)</f>
        <v>0</v>
      </c>
      <c r="C20" s="65"/>
      <c r="D20" s="78"/>
      <c r="I20" s="61" t="s">
        <v>84</v>
      </c>
      <c r="J20" s="73">
        <v>1.4</v>
      </c>
      <c r="K20" s="72" t="s">
        <v>95</v>
      </c>
      <c r="L20" s="72">
        <v>1.36</v>
      </c>
      <c r="M20" s="74">
        <v>68000</v>
      </c>
      <c r="N20" s="73">
        <f t="shared" si="0"/>
        <v>13.3517687778</v>
      </c>
    </row>
    <row r="21" spans="2:14" ht="44.25" customHeight="1" x14ac:dyDescent="0.2">
      <c r="B21" s="98" t="s">
        <v>72</v>
      </c>
      <c r="C21" s="93">
        <f>VLOOKUP(C18,E27:H35,4)</f>
        <v>3.1415926535897931</v>
      </c>
      <c r="D21" s="82"/>
      <c r="K21" s="72" t="s">
        <v>93</v>
      </c>
      <c r="L21" s="72">
        <v>0.84</v>
      </c>
      <c r="M21" s="74">
        <v>42000</v>
      </c>
      <c r="N21" s="73">
        <f t="shared" si="0"/>
        <v>8.2466807157000002</v>
      </c>
    </row>
    <row r="22" spans="2:14" ht="15" x14ac:dyDescent="0.2">
      <c r="D22" s="78"/>
      <c r="K22" s="72" t="s">
        <v>96</v>
      </c>
      <c r="L22" s="72">
        <v>0.57999999999999996</v>
      </c>
      <c r="M22" s="74">
        <v>29000</v>
      </c>
      <c r="N22" s="73">
        <f t="shared" si="0"/>
        <v>5.6941366846500001</v>
      </c>
    </row>
    <row r="23" spans="2:14" ht="15" x14ac:dyDescent="0.2">
      <c r="D23" s="78"/>
      <c r="K23" s="72" t="s">
        <v>97</v>
      </c>
      <c r="L23" s="72">
        <v>0.86</v>
      </c>
      <c r="M23" s="74">
        <v>43000</v>
      </c>
      <c r="N23" s="73">
        <f t="shared" si="0"/>
        <v>8.4430302565500011</v>
      </c>
    </row>
    <row r="24" spans="2:14" ht="15" x14ac:dyDescent="0.2">
      <c r="D24" s="78"/>
      <c r="K24" s="72" t="s">
        <v>113</v>
      </c>
      <c r="L24" s="75">
        <v>1.7</v>
      </c>
      <c r="M24" s="74">
        <v>90000</v>
      </c>
      <c r="N24" s="73">
        <f>$C$9*$C$10*(M24)/2000</f>
        <v>17.671458676499999</v>
      </c>
    </row>
    <row r="25" spans="2:14" ht="15" x14ac:dyDescent="0.2">
      <c r="D25" s="78"/>
      <c r="K25" s="72" t="s">
        <v>136</v>
      </c>
      <c r="L25" s="75"/>
      <c r="M25" s="74">
        <f>C12</f>
        <v>0</v>
      </c>
      <c r="N25" s="73">
        <f>$C$9*$C$10*(M25)/2000</f>
        <v>0</v>
      </c>
    </row>
    <row r="26" spans="2:14" ht="15" x14ac:dyDescent="0.2">
      <c r="D26" s="78"/>
      <c r="E26" s="76" t="s">
        <v>124</v>
      </c>
      <c r="F26" s="76" t="s">
        <v>125</v>
      </c>
      <c r="G26" s="76" t="s">
        <v>125</v>
      </c>
      <c r="H26" s="76" t="s">
        <v>131</v>
      </c>
      <c r="J26" s="76"/>
      <c r="K26" s="72" t="s">
        <v>112</v>
      </c>
      <c r="L26" s="75">
        <v>1.4</v>
      </c>
      <c r="M26" s="74">
        <v>70000</v>
      </c>
      <c r="N26" s="73">
        <f t="shared" si="0"/>
        <v>13.7444678595</v>
      </c>
    </row>
    <row r="27" spans="2:14" ht="15" x14ac:dyDescent="0.2">
      <c r="D27" s="78"/>
      <c r="E27" s="77" t="s">
        <v>132</v>
      </c>
      <c r="F27" s="77" t="s">
        <v>129</v>
      </c>
      <c r="G27" s="77">
        <v>0</v>
      </c>
      <c r="H27" s="77">
        <f>3*C19</f>
        <v>3</v>
      </c>
      <c r="K27" s="72" t="s">
        <v>138</v>
      </c>
      <c r="L27" s="75">
        <v>1.4</v>
      </c>
      <c r="M27" s="74">
        <v>70000</v>
      </c>
      <c r="N27" s="73">
        <f t="shared" si="0"/>
        <v>13.7444678595</v>
      </c>
    </row>
    <row r="28" spans="2:14" ht="15" x14ac:dyDescent="0.2">
      <c r="E28" s="76" t="s">
        <v>8</v>
      </c>
      <c r="F28" s="76" t="s">
        <v>130</v>
      </c>
      <c r="G28" s="77">
        <v>0</v>
      </c>
      <c r="H28" s="77">
        <f>(C19/2)*6.92820323027551</f>
        <v>3.4641016151377548</v>
      </c>
      <c r="K28" s="72" t="s">
        <v>139</v>
      </c>
      <c r="L28" s="75">
        <v>1.4</v>
      </c>
      <c r="M28" s="74">
        <v>70000</v>
      </c>
      <c r="N28" s="73">
        <f t="shared" si="0"/>
        <v>13.7444678595</v>
      </c>
    </row>
    <row r="29" spans="2:14" ht="15" x14ac:dyDescent="0.2">
      <c r="E29" s="76" t="s">
        <v>69</v>
      </c>
      <c r="F29" s="76" t="s">
        <v>128</v>
      </c>
      <c r="G29" s="76" t="s">
        <v>127</v>
      </c>
      <c r="H29" s="76" t="str">
        <f>IF(C20&gt;0,((PI()*C20)/2)+(2*(C19-(C20/2)))+C20,"ENTER WIDTH VALUE ABOVE")</f>
        <v>ENTER WIDTH VALUE ABOVE</v>
      </c>
      <c r="K29" s="72" t="s">
        <v>101</v>
      </c>
      <c r="L29" s="72">
        <v>1</v>
      </c>
      <c r="M29" s="74">
        <v>50000</v>
      </c>
      <c r="N29" s="73">
        <f t="shared" si="0"/>
        <v>9.8174770425000002</v>
      </c>
    </row>
    <row r="30" spans="2:14" ht="15" x14ac:dyDescent="0.2">
      <c r="E30" s="76" t="s">
        <v>7</v>
      </c>
      <c r="F30" s="76" t="s">
        <v>137</v>
      </c>
      <c r="G30" s="76" t="s">
        <v>127</v>
      </c>
      <c r="H30" s="76" t="str">
        <f>IF(C20&gt;0,(((PI()*C20))+(2*(C19-C20))),"ENTER WIDTH VALUE ABOVE")</f>
        <v>ENTER WIDTH VALUE ABOVE</v>
      </c>
      <c r="K30" s="72" t="s">
        <v>99</v>
      </c>
      <c r="L30" s="72">
        <v>1.48</v>
      </c>
      <c r="M30" s="74">
        <v>74000</v>
      </c>
      <c r="N30" s="73">
        <f t="shared" si="0"/>
        <v>14.5298660229</v>
      </c>
    </row>
    <row r="31" spans="2:14" ht="15" x14ac:dyDescent="0.2">
      <c r="E31" s="76" t="s">
        <v>70</v>
      </c>
      <c r="F31" s="76" t="s">
        <v>130</v>
      </c>
      <c r="G31" s="77">
        <v>0</v>
      </c>
      <c r="H31" s="77">
        <f>C19*3.31370849898476</f>
        <v>3.3137084989847598</v>
      </c>
      <c r="I31" s="76"/>
      <c r="K31" s="72" t="s">
        <v>107</v>
      </c>
      <c r="L31" s="75">
        <v>1.2</v>
      </c>
      <c r="M31" s="74">
        <v>60000</v>
      </c>
      <c r="N31" s="73">
        <f t="shared" si="0"/>
        <v>11.780972451</v>
      </c>
    </row>
    <row r="32" spans="2:14" ht="29" x14ac:dyDescent="0.2">
      <c r="B32" s="60"/>
      <c r="C32" s="60"/>
      <c r="D32" s="85"/>
      <c r="E32" s="76" t="s">
        <v>71</v>
      </c>
      <c r="F32" s="76" t="s">
        <v>126</v>
      </c>
      <c r="G32" s="77" t="s">
        <v>130</v>
      </c>
      <c r="H32" s="77" t="str">
        <f>IF(C19&lt;SQRT((C20*C20)*2),(8*(SQRT(((C19/2)*(C19/2))-((C20/2)*(C20/2)))))+((PI()*C19)-(4*((2*(DEGREES(ACOS((C20/2)/(C19/2)))))*(PI()*C19)/360))),"THE FLAT DISTANCE ABOVE IS TOO SMALL")</f>
        <v>THE FLAT DISTANCE ABOVE IS TOO SMALL</v>
      </c>
      <c r="J32" s="76"/>
      <c r="K32" s="72" t="s">
        <v>108</v>
      </c>
      <c r="L32" s="75">
        <v>1.2</v>
      </c>
      <c r="M32" s="74">
        <v>60000</v>
      </c>
      <c r="N32" s="73">
        <f t="shared" si="0"/>
        <v>11.780972451</v>
      </c>
    </row>
    <row r="33" spans="5:14" ht="15" x14ac:dyDescent="0.2">
      <c r="E33" s="76" t="s">
        <v>68</v>
      </c>
      <c r="F33" s="76" t="s">
        <v>128</v>
      </c>
      <c r="G33" s="76" t="s">
        <v>127</v>
      </c>
      <c r="H33" s="76" t="str">
        <f>IF(C20&gt;0,2*(C19+C20),"ENTER WIDTH VALUE ABOVE")</f>
        <v>ENTER WIDTH VALUE ABOVE</v>
      </c>
      <c r="J33" s="76"/>
      <c r="K33" s="72" t="s">
        <v>102</v>
      </c>
      <c r="L33" s="72">
        <v>1</v>
      </c>
      <c r="M33" s="74">
        <v>50000</v>
      </c>
      <c r="N33" s="73">
        <f t="shared" si="0"/>
        <v>9.8174770425000002</v>
      </c>
    </row>
    <row r="34" spans="5:14" ht="15" x14ac:dyDescent="0.2">
      <c r="E34" s="76" t="s">
        <v>5</v>
      </c>
      <c r="F34" s="76" t="s">
        <v>126</v>
      </c>
      <c r="G34" s="77">
        <v>0</v>
      </c>
      <c r="H34" s="77">
        <f>PI()*C19</f>
        <v>3.1415926535897931</v>
      </c>
      <c r="J34" s="76"/>
      <c r="K34" s="72" t="s">
        <v>103</v>
      </c>
      <c r="L34" s="72">
        <v>1.1000000000000001</v>
      </c>
      <c r="M34" s="74">
        <v>55000</v>
      </c>
      <c r="N34" s="73">
        <f t="shared" si="0"/>
        <v>10.799224746749999</v>
      </c>
    </row>
    <row r="35" spans="5:14" ht="15" x14ac:dyDescent="0.2">
      <c r="E35" s="76" t="s">
        <v>6</v>
      </c>
      <c r="F35" s="76" t="s">
        <v>127</v>
      </c>
      <c r="G35" s="77">
        <v>0</v>
      </c>
      <c r="H35" s="77">
        <f>4*C19</f>
        <v>4</v>
      </c>
      <c r="J35" s="76"/>
      <c r="K35" s="72" t="s">
        <v>104</v>
      </c>
      <c r="L35" s="72">
        <v>1.2</v>
      </c>
      <c r="M35" s="74">
        <v>60000</v>
      </c>
      <c r="N35" s="73">
        <f t="shared" si="0"/>
        <v>11.780972451</v>
      </c>
    </row>
    <row r="36" spans="5:14" ht="15" x14ac:dyDescent="0.2">
      <c r="E36" s="76"/>
      <c r="F36" s="76"/>
      <c r="G36" s="76"/>
      <c r="H36" s="76"/>
      <c r="K36" s="72" t="s">
        <v>105</v>
      </c>
      <c r="L36" s="72">
        <v>1.3</v>
      </c>
      <c r="M36" s="74">
        <v>65000</v>
      </c>
      <c r="N36" s="73">
        <f t="shared" si="0"/>
        <v>12.762720155250001</v>
      </c>
    </row>
    <row r="37" spans="5:14" ht="15" x14ac:dyDescent="0.2">
      <c r="K37" s="72" t="s">
        <v>106</v>
      </c>
      <c r="L37" s="72">
        <v>1.4</v>
      </c>
      <c r="M37" s="74">
        <v>70000</v>
      </c>
      <c r="N37" s="73">
        <f t="shared" si="0"/>
        <v>13.7444678595</v>
      </c>
    </row>
    <row r="38" spans="5:14" ht="15" x14ac:dyDescent="0.2">
      <c r="K38" s="72" t="s">
        <v>109</v>
      </c>
      <c r="L38" s="75">
        <v>2.5</v>
      </c>
      <c r="M38" s="74">
        <v>125000</v>
      </c>
      <c r="N38" s="73">
        <f t="shared" si="0"/>
        <v>24.543692606249998</v>
      </c>
    </row>
    <row r="39" spans="5:14" ht="15" x14ac:dyDescent="0.2">
      <c r="K39" s="72" t="s">
        <v>111</v>
      </c>
      <c r="L39" s="75">
        <v>1.8</v>
      </c>
      <c r="M39" s="74">
        <v>90000</v>
      </c>
      <c r="N39" s="73">
        <f t="shared" si="0"/>
        <v>17.671458676499999</v>
      </c>
    </row>
    <row r="40" spans="5:14" ht="15" x14ac:dyDescent="0.2">
      <c r="K40" s="72" t="s">
        <v>110</v>
      </c>
      <c r="L40" s="75">
        <v>2.5</v>
      </c>
      <c r="M40" s="74">
        <v>125000</v>
      </c>
      <c r="N40" s="73">
        <f t="shared" si="0"/>
        <v>24.543692606249998</v>
      </c>
    </row>
    <row r="41" spans="5:14" ht="15" x14ac:dyDescent="0.2">
      <c r="J41" s="86" t="s">
        <v>140</v>
      </c>
      <c r="K41" s="87" t="s">
        <v>98</v>
      </c>
      <c r="L41" s="87">
        <v>1</v>
      </c>
      <c r="M41" s="88">
        <v>50000</v>
      </c>
      <c r="N41" s="89">
        <f t="shared" si="0"/>
        <v>9.8174770425000002</v>
      </c>
    </row>
    <row r="42" spans="5:14" ht="15" x14ac:dyDescent="0.2">
      <c r="K42" s="72" t="s">
        <v>100</v>
      </c>
      <c r="L42" s="72">
        <v>1.2</v>
      </c>
      <c r="M42" s="74">
        <v>60000</v>
      </c>
      <c r="N42" s="73">
        <f t="shared" si="0"/>
        <v>11.780972451</v>
      </c>
    </row>
  </sheetData>
  <sheetProtection sheet="1" objects="1" scenarios="1" selectLockedCells="1"/>
  <mergeCells count="2">
    <mergeCell ref="B17:C17"/>
    <mergeCell ref="B8:C8"/>
  </mergeCells>
  <phoneticPr fontId="11" type="noConversion"/>
  <conditionalFormatting sqref="C12">
    <cfRule type="expression" dxfId="9" priority="5">
      <formula>$C$11="Other"</formula>
    </cfRule>
  </conditionalFormatting>
  <conditionalFormatting sqref="B20">
    <cfRule type="cellIs" dxfId="8" priority="1" operator="equal">
      <formula>0</formula>
    </cfRule>
  </conditionalFormatting>
  <dataValidations count="6">
    <dataValidation type="list" allowBlank="1" showInputMessage="1" showErrorMessage="1" sqref="C18" xr:uid="{00000000-0002-0000-0000-000000000000}">
      <formula1>$E$27:$E$35</formula1>
    </dataValidation>
    <dataValidation type="custom" allowBlank="1" showInputMessage="1" showErrorMessage="1" sqref="D20" xr:uid="{00000000-0002-0000-0000-000001000000}">
      <formula1>D20&lt;D19</formula1>
    </dataValidation>
    <dataValidation type="list" allowBlank="1" showInputMessage="1" showErrorMessage="1" sqref="C11" xr:uid="{00000000-0002-0000-0000-000002000000}">
      <formula1>$K$8:$K$42</formula1>
    </dataValidation>
    <dataValidation type="decimal" operator="greaterThan" allowBlank="1" showInputMessage="1" showErrorMessage="1" error="Must enter Psi not Ksi" prompt="Enter psi not Ksi" sqref="C12" xr:uid="{00000000-0002-0000-0000-000003000000}">
      <formula1>1000</formula1>
    </dataValidation>
    <dataValidation operator="greaterThan" allowBlank="1" showInputMessage="1" showErrorMessage="1" error="MUST ENTER Shear Strength for &quot;Other&quot; material" sqref="C13" xr:uid="{00000000-0002-0000-0000-000004000000}"/>
    <dataValidation type="custom" allowBlank="1" showInputMessage="1" showErrorMessage="1" error="Your value is either larger than your first OR too small for the geometric shape" sqref="C20" xr:uid="{00000000-0002-0000-0000-000005000000}">
      <formula1>C20&lt;C19</formula1>
    </dataValidation>
  </dataValidations>
  <pageMargins left="0.7" right="0.7" top="0.75" bottom="0.75" header="0.3" footer="0.3"/>
  <pageSetup scale="66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"/>
  <sheetViews>
    <sheetView workbookViewId="0"/>
  </sheetViews>
  <sheetFormatPr baseColWidth="10" defaultColWidth="11.5" defaultRowHeight="13" x14ac:dyDescent="0.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B3:AC42"/>
  <sheetViews>
    <sheetView showRowColHeaders="0" zoomScale="78" zoomScaleNormal="78" zoomScalePageLayoutView="78" workbookViewId="0">
      <selection activeCell="C11" sqref="C11"/>
    </sheetView>
  </sheetViews>
  <sheetFormatPr baseColWidth="10" defaultColWidth="9.1640625" defaultRowHeight="13" x14ac:dyDescent="0.15"/>
  <cols>
    <col min="1" max="1" width="9.1640625" style="59"/>
    <col min="2" max="2" width="40.83203125" style="59" bestFit="1" customWidth="1"/>
    <col min="3" max="3" width="63.1640625" style="59" customWidth="1"/>
    <col min="4" max="4" width="11.5" style="79" customWidth="1"/>
    <col min="5" max="5" width="17.5" style="61" hidden="1" customWidth="1"/>
    <col min="6" max="6" width="18.5" style="61" hidden="1" customWidth="1"/>
    <col min="7" max="7" width="11.83203125" style="61" hidden="1" customWidth="1"/>
    <col min="8" max="8" width="28" style="61" hidden="1" customWidth="1"/>
    <col min="9" max="9" width="22.5" style="61" hidden="1" customWidth="1"/>
    <col min="10" max="10" width="12.33203125" style="61" hidden="1" customWidth="1"/>
    <col min="11" max="11" width="32.6640625" style="61" hidden="1" customWidth="1"/>
    <col min="12" max="12" width="15.33203125" style="61" hidden="1" customWidth="1"/>
    <col min="13" max="13" width="18.83203125" style="61" hidden="1" customWidth="1"/>
    <col min="14" max="14" width="24.5" style="61" hidden="1" customWidth="1"/>
    <col min="15" max="26" width="9.1640625" style="61" hidden="1" customWidth="1"/>
    <col min="27" max="28" width="9.1640625" style="79" hidden="1" customWidth="1"/>
    <col min="29" max="29" width="9.1640625" style="79" customWidth="1"/>
    <col min="30" max="32" width="9.1640625" style="59" customWidth="1"/>
    <col min="33" max="16384" width="9.1640625" style="59"/>
  </cols>
  <sheetData>
    <row r="3" spans="2:14" ht="17.25" customHeight="1" x14ac:dyDescent="0.15">
      <c r="D3" s="78"/>
    </row>
    <row r="4" spans="2:14" ht="17.25" customHeight="1" x14ac:dyDescent="0.15">
      <c r="D4" s="78"/>
    </row>
    <row r="5" spans="2:14" ht="17.25" customHeight="1" x14ac:dyDescent="0.15">
      <c r="D5" s="78"/>
    </row>
    <row r="6" spans="2:14" ht="17.25" customHeight="1" x14ac:dyDescent="0.15">
      <c r="D6" s="78"/>
    </row>
    <row r="7" spans="2:14" ht="20.25" customHeight="1" x14ac:dyDescent="0.2">
      <c r="D7" s="78"/>
      <c r="I7" s="68" t="s">
        <v>114</v>
      </c>
      <c r="K7" s="69" t="s">
        <v>115</v>
      </c>
      <c r="L7" s="70" t="s">
        <v>133</v>
      </c>
      <c r="M7" s="70" t="s">
        <v>134</v>
      </c>
      <c r="N7" s="61" t="s">
        <v>135</v>
      </c>
    </row>
    <row r="8" spans="2:14" ht="44.25" customHeight="1" x14ac:dyDescent="0.2">
      <c r="B8" s="96" t="s">
        <v>147</v>
      </c>
      <c r="C8" s="97"/>
      <c r="D8" s="78"/>
      <c r="I8" s="61" t="s">
        <v>85</v>
      </c>
      <c r="J8" s="71" t="s">
        <v>73</v>
      </c>
      <c r="K8" s="72" t="s">
        <v>116</v>
      </c>
      <c r="L8" s="72">
        <v>0.22</v>
      </c>
      <c r="M8" s="74">
        <f t="shared" ref="M8:M23" si="0">$M$41*$L8</f>
        <v>75.900000000000006</v>
      </c>
      <c r="N8" s="73">
        <f t="shared" ref="N8:N42" si="1">$C$9*$C$10*(M8)/9806.65</f>
        <v>1.9763093329526393</v>
      </c>
    </row>
    <row r="9" spans="2:14" ht="44.25" customHeight="1" x14ac:dyDescent="0.2">
      <c r="B9" s="98" t="s">
        <v>143</v>
      </c>
      <c r="C9" s="90">
        <v>79.796499999999995</v>
      </c>
      <c r="D9" s="80"/>
      <c r="I9" s="61" t="s">
        <v>76</v>
      </c>
      <c r="J9" s="73">
        <v>0.5</v>
      </c>
      <c r="K9" s="72" t="s">
        <v>117</v>
      </c>
      <c r="L9" s="72">
        <v>0.3</v>
      </c>
      <c r="M9" s="74">
        <f t="shared" si="0"/>
        <v>103.5</v>
      </c>
      <c r="N9" s="73">
        <f t="shared" si="1"/>
        <v>2.6949672722081441</v>
      </c>
    </row>
    <row r="10" spans="2:14" ht="44.25" customHeight="1" x14ac:dyDescent="0.2">
      <c r="B10" s="98" t="s">
        <v>145</v>
      </c>
      <c r="C10" s="90">
        <v>3.2</v>
      </c>
      <c r="D10" s="80"/>
      <c r="I10" s="61" t="s">
        <v>75</v>
      </c>
      <c r="J10" s="73">
        <v>0.38</v>
      </c>
      <c r="K10" s="72" t="s">
        <v>118</v>
      </c>
      <c r="L10" s="72">
        <v>0.32</v>
      </c>
      <c r="M10" s="74">
        <f t="shared" si="0"/>
        <v>110.4</v>
      </c>
      <c r="N10" s="73">
        <f t="shared" si="1"/>
        <v>2.874631757022021</v>
      </c>
    </row>
    <row r="11" spans="2:14" ht="24.75" customHeight="1" x14ac:dyDescent="0.2">
      <c r="B11" s="99" t="s">
        <v>85</v>
      </c>
      <c r="C11" s="66" t="s">
        <v>98</v>
      </c>
      <c r="D11" s="81"/>
      <c r="I11" s="61" t="s">
        <v>74</v>
      </c>
      <c r="J11" s="73">
        <v>0.3</v>
      </c>
      <c r="K11" s="72" t="s">
        <v>90</v>
      </c>
      <c r="L11" s="72">
        <v>0.38</v>
      </c>
      <c r="M11" s="74">
        <f t="shared" si="0"/>
        <v>131.1</v>
      </c>
      <c r="N11" s="73">
        <f t="shared" si="1"/>
        <v>3.4136252114636494</v>
      </c>
    </row>
    <row r="12" spans="2:14" ht="24.75" customHeight="1" x14ac:dyDescent="0.2">
      <c r="B12" s="100" t="str">
        <f>IF(C11="Other","Enter Shear Strength (psi)","")</f>
        <v/>
      </c>
      <c r="C12" s="62"/>
      <c r="D12" s="78"/>
      <c r="I12" s="61" t="s">
        <v>78</v>
      </c>
      <c r="J12" s="73">
        <v>0.7</v>
      </c>
      <c r="K12" s="72" t="s">
        <v>119</v>
      </c>
      <c r="L12" s="72">
        <v>0.28000000000000003</v>
      </c>
      <c r="M12" s="74">
        <f t="shared" si="0"/>
        <v>96.600000000000009</v>
      </c>
      <c r="N12" s="73">
        <f t="shared" si="1"/>
        <v>2.5153027873942686</v>
      </c>
    </row>
    <row r="13" spans="2:14" ht="44.25" customHeight="1" x14ac:dyDescent="0.2">
      <c r="B13" s="98" t="s">
        <v>141</v>
      </c>
      <c r="C13" s="63">
        <f>VLOOKUP(C11,K8:N42,3)</f>
        <v>345</v>
      </c>
      <c r="D13" s="81"/>
      <c r="I13" s="61" t="s">
        <v>77</v>
      </c>
      <c r="J13" s="73">
        <v>0.6</v>
      </c>
      <c r="K13" s="72" t="s">
        <v>120</v>
      </c>
      <c r="L13" s="72">
        <v>0.36</v>
      </c>
      <c r="M13" s="74">
        <f t="shared" si="0"/>
        <v>124.19999999999999</v>
      </c>
      <c r="N13" s="73">
        <f t="shared" si="1"/>
        <v>3.233960726649773</v>
      </c>
    </row>
    <row r="14" spans="2:14" ht="44.25" customHeight="1" x14ac:dyDescent="0.2">
      <c r="B14" s="98" t="s">
        <v>144</v>
      </c>
      <c r="C14" s="92">
        <f>VLOOKUP(C11,K8:N42,4)</f>
        <v>8.983224240693815</v>
      </c>
      <c r="D14" s="82"/>
      <c r="I14" s="61" t="s">
        <v>79</v>
      </c>
      <c r="J14" s="73">
        <v>0.56999999999999995</v>
      </c>
      <c r="K14" s="72" t="s">
        <v>121</v>
      </c>
      <c r="L14" s="72">
        <v>0.4</v>
      </c>
      <c r="M14" s="74">
        <f t="shared" si="0"/>
        <v>138</v>
      </c>
      <c r="N14" s="73">
        <f t="shared" si="1"/>
        <v>3.5932896962775258</v>
      </c>
    </row>
    <row r="15" spans="2:14" ht="15" x14ac:dyDescent="0.2">
      <c r="D15" s="78"/>
      <c r="I15" s="61" t="s">
        <v>82</v>
      </c>
      <c r="J15" s="73">
        <v>1.4</v>
      </c>
      <c r="K15" s="72" t="s">
        <v>122</v>
      </c>
      <c r="L15" s="72">
        <v>0.24</v>
      </c>
      <c r="M15" s="74">
        <f t="shared" si="0"/>
        <v>82.8</v>
      </c>
      <c r="N15" s="73">
        <f t="shared" si="1"/>
        <v>2.1559738177665158</v>
      </c>
    </row>
    <row r="16" spans="2:14" ht="15" x14ac:dyDescent="0.2">
      <c r="D16" s="78"/>
      <c r="I16" s="61" t="s">
        <v>81</v>
      </c>
      <c r="J16" s="73">
        <v>1.2</v>
      </c>
      <c r="K16" s="72" t="s">
        <v>91</v>
      </c>
      <c r="L16" s="72">
        <v>0.48</v>
      </c>
      <c r="M16" s="74">
        <f t="shared" si="0"/>
        <v>165.6</v>
      </c>
      <c r="N16" s="73">
        <f t="shared" si="1"/>
        <v>4.3119476355330315</v>
      </c>
    </row>
    <row r="17" spans="2:14" ht="44.25" customHeight="1" x14ac:dyDescent="0.2">
      <c r="B17" s="101" t="s">
        <v>146</v>
      </c>
      <c r="C17" s="102"/>
      <c r="D17" s="83"/>
      <c r="I17" s="61" t="s">
        <v>83</v>
      </c>
      <c r="J17" s="73">
        <v>1.2</v>
      </c>
      <c r="K17" s="72" t="s">
        <v>92</v>
      </c>
      <c r="L17" s="72">
        <v>0.57999999999999996</v>
      </c>
      <c r="M17" s="74">
        <f t="shared" si="0"/>
        <v>200.1</v>
      </c>
      <c r="N17" s="73">
        <f t="shared" si="1"/>
        <v>5.2102700596024123</v>
      </c>
    </row>
    <row r="18" spans="2:14" ht="24.75" customHeight="1" x14ac:dyDescent="0.2">
      <c r="B18" s="98" t="s">
        <v>124</v>
      </c>
      <c r="C18" s="67" t="s">
        <v>5</v>
      </c>
      <c r="D18" s="84"/>
      <c r="I18" s="61" t="s">
        <v>80</v>
      </c>
      <c r="J18" s="73">
        <v>1</v>
      </c>
      <c r="K18" s="72" t="s">
        <v>123</v>
      </c>
      <c r="L18" s="72">
        <v>0.6</v>
      </c>
      <c r="M18" s="74">
        <f t="shared" si="0"/>
        <v>207</v>
      </c>
      <c r="N18" s="73">
        <f t="shared" si="1"/>
        <v>5.3899345444162883</v>
      </c>
    </row>
    <row r="19" spans="2:14" ht="24.75" customHeight="1" x14ac:dyDescent="0.2">
      <c r="B19" s="98" t="str">
        <f>VLOOKUP(C18,E27:G35,2)</f>
        <v>Enter Diameter</v>
      </c>
      <c r="C19" s="90">
        <f>1*25.4</f>
        <v>25.4</v>
      </c>
      <c r="D19" s="80"/>
      <c r="I19" s="61" t="s">
        <v>86</v>
      </c>
      <c r="J19" s="73">
        <v>4</v>
      </c>
      <c r="K19" s="72" t="s">
        <v>94</v>
      </c>
      <c r="L19" s="72">
        <v>1.1200000000000001</v>
      </c>
      <c r="M19" s="74">
        <f t="shared" si="0"/>
        <v>386.40000000000003</v>
      </c>
      <c r="N19" s="73">
        <f t="shared" si="1"/>
        <v>10.061211149577074</v>
      </c>
    </row>
    <row r="20" spans="2:14" ht="24.75" customHeight="1" x14ac:dyDescent="0.2">
      <c r="B20" s="99">
        <f>VLOOKUP(C18,E27:G35,3)</f>
        <v>0</v>
      </c>
      <c r="C20" s="91"/>
      <c r="D20" s="78"/>
      <c r="I20" s="61" t="s">
        <v>84</v>
      </c>
      <c r="J20" s="73">
        <v>1.4</v>
      </c>
      <c r="K20" s="72" t="s">
        <v>95</v>
      </c>
      <c r="L20" s="72">
        <v>1.36</v>
      </c>
      <c r="M20" s="74">
        <f t="shared" si="0"/>
        <v>469.20000000000005</v>
      </c>
      <c r="N20" s="73">
        <f t="shared" si="1"/>
        <v>12.21718496734359</v>
      </c>
    </row>
    <row r="21" spans="2:14" ht="44.25" customHeight="1" x14ac:dyDescent="0.2">
      <c r="B21" s="98" t="s">
        <v>72</v>
      </c>
      <c r="C21" s="64">
        <f>VLOOKUP(C18,E27:H35,4)</f>
        <v>79.796453401180742</v>
      </c>
      <c r="D21" s="82"/>
      <c r="K21" s="72" t="s">
        <v>93</v>
      </c>
      <c r="L21" s="72">
        <v>0.84</v>
      </c>
      <c r="M21" s="74">
        <f t="shared" si="0"/>
        <v>289.8</v>
      </c>
      <c r="N21" s="73">
        <f t="shared" si="1"/>
        <v>7.5459083621828054</v>
      </c>
    </row>
    <row r="22" spans="2:14" ht="15" x14ac:dyDescent="0.2">
      <c r="B22" s="104"/>
      <c r="D22" s="78"/>
      <c r="K22" s="72" t="s">
        <v>96</v>
      </c>
      <c r="L22" s="72">
        <v>0.57999999999999996</v>
      </c>
      <c r="M22" s="74">
        <f t="shared" si="0"/>
        <v>200.1</v>
      </c>
      <c r="N22" s="73">
        <f t="shared" si="1"/>
        <v>5.2102700596024123</v>
      </c>
    </row>
    <row r="23" spans="2:14" ht="15" x14ac:dyDescent="0.2">
      <c r="D23" s="78"/>
      <c r="K23" s="72" t="s">
        <v>97</v>
      </c>
      <c r="L23" s="72">
        <v>0.86</v>
      </c>
      <c r="M23" s="74">
        <f t="shared" si="0"/>
        <v>296.7</v>
      </c>
      <c r="N23" s="73">
        <f t="shared" si="1"/>
        <v>7.7255728469966796</v>
      </c>
    </row>
    <row r="24" spans="2:14" ht="15" x14ac:dyDescent="0.2">
      <c r="D24" s="78"/>
      <c r="K24" s="72" t="s">
        <v>113</v>
      </c>
      <c r="L24" s="75">
        <v>1.7</v>
      </c>
      <c r="M24" s="74">
        <f>$M$41*$L24</f>
        <v>586.5</v>
      </c>
      <c r="N24" s="73">
        <f t="shared" si="1"/>
        <v>15.271481209179484</v>
      </c>
    </row>
    <row r="25" spans="2:14" ht="15" x14ac:dyDescent="0.2">
      <c r="D25" s="78"/>
      <c r="K25" s="72" t="s">
        <v>136</v>
      </c>
      <c r="L25" s="75"/>
      <c r="M25" s="74">
        <f>C12</f>
        <v>0</v>
      </c>
      <c r="N25" s="73">
        <f t="shared" si="1"/>
        <v>0</v>
      </c>
    </row>
    <row r="26" spans="2:14" ht="15" x14ac:dyDescent="0.2">
      <c r="D26" s="78"/>
      <c r="E26" s="76" t="s">
        <v>124</v>
      </c>
      <c r="F26" s="76" t="s">
        <v>125</v>
      </c>
      <c r="G26" s="76" t="s">
        <v>125</v>
      </c>
      <c r="H26" s="76" t="s">
        <v>131</v>
      </c>
      <c r="J26" s="76"/>
      <c r="K26" s="72" t="s">
        <v>112</v>
      </c>
      <c r="L26" s="75">
        <v>1.4</v>
      </c>
      <c r="M26" s="74">
        <f t="shared" ref="M26:M40" si="2">$M$41*$L26</f>
        <v>482.99999999999994</v>
      </c>
      <c r="N26" s="73">
        <f t="shared" si="1"/>
        <v>12.576513936971338</v>
      </c>
    </row>
    <row r="27" spans="2:14" ht="15" x14ac:dyDescent="0.2">
      <c r="D27" s="78"/>
      <c r="E27" s="77" t="s">
        <v>132</v>
      </c>
      <c r="F27" s="77" t="s">
        <v>129</v>
      </c>
      <c r="G27" s="77">
        <v>0</v>
      </c>
      <c r="H27" s="77">
        <f>3*C19</f>
        <v>76.199999999999989</v>
      </c>
      <c r="K27" s="72" t="s">
        <v>138</v>
      </c>
      <c r="L27" s="75">
        <v>1.4</v>
      </c>
      <c r="M27" s="74">
        <f t="shared" si="2"/>
        <v>482.99999999999994</v>
      </c>
      <c r="N27" s="73">
        <f t="shared" si="1"/>
        <v>12.576513936971338</v>
      </c>
    </row>
    <row r="28" spans="2:14" ht="15" x14ac:dyDescent="0.2">
      <c r="E28" s="76" t="s">
        <v>8</v>
      </c>
      <c r="F28" s="76" t="s">
        <v>130</v>
      </c>
      <c r="G28" s="77">
        <v>0</v>
      </c>
      <c r="H28" s="77">
        <f>(C19/2)*6.92820323027551</f>
        <v>87.988181024498971</v>
      </c>
      <c r="K28" s="72" t="s">
        <v>139</v>
      </c>
      <c r="L28" s="75">
        <v>1.4</v>
      </c>
      <c r="M28" s="74">
        <f t="shared" si="2"/>
        <v>482.99999999999994</v>
      </c>
      <c r="N28" s="73">
        <f t="shared" si="1"/>
        <v>12.576513936971338</v>
      </c>
    </row>
    <row r="29" spans="2:14" ht="15" x14ac:dyDescent="0.2">
      <c r="E29" s="76" t="s">
        <v>69</v>
      </c>
      <c r="F29" s="76" t="s">
        <v>128</v>
      </c>
      <c r="G29" s="76" t="s">
        <v>127</v>
      </c>
      <c r="H29" s="76" t="str">
        <f>IF(C20&gt;0,((PI()*C20)/2)+(2*(C19-(C20/2)))+C20,"ENTER WIDTH VALUE ABOVE")</f>
        <v>ENTER WIDTH VALUE ABOVE</v>
      </c>
      <c r="K29" s="72" t="s">
        <v>101</v>
      </c>
      <c r="L29" s="72">
        <v>1</v>
      </c>
      <c r="M29" s="74">
        <f t="shared" si="2"/>
        <v>345</v>
      </c>
      <c r="N29" s="73">
        <f t="shared" si="1"/>
        <v>8.983224240693815</v>
      </c>
    </row>
    <row r="30" spans="2:14" ht="15" x14ac:dyDescent="0.2">
      <c r="E30" s="76" t="s">
        <v>7</v>
      </c>
      <c r="F30" s="76" t="s">
        <v>137</v>
      </c>
      <c r="G30" s="76" t="s">
        <v>127</v>
      </c>
      <c r="H30" s="76" t="str">
        <f>IF(C20&gt;0,(((PI()*C20))+(2*(C19-C20))),"ENTER WIDTH VALUE ABOVE")</f>
        <v>ENTER WIDTH VALUE ABOVE</v>
      </c>
      <c r="K30" s="72" t="s">
        <v>99</v>
      </c>
      <c r="L30" s="72">
        <v>1.48</v>
      </c>
      <c r="M30" s="74">
        <f t="shared" si="2"/>
        <v>510.59999999999997</v>
      </c>
      <c r="N30" s="73">
        <f t="shared" si="1"/>
        <v>13.295171876226846</v>
      </c>
    </row>
    <row r="31" spans="2:14" ht="15" x14ac:dyDescent="0.2">
      <c r="E31" s="76" t="s">
        <v>70</v>
      </c>
      <c r="F31" s="76" t="s">
        <v>130</v>
      </c>
      <c r="G31" s="77">
        <v>0</v>
      </c>
      <c r="H31" s="77">
        <f>C19*3.31370849898476</f>
        <v>84.168195874212898</v>
      </c>
      <c r="I31" s="76"/>
      <c r="K31" s="72" t="s">
        <v>107</v>
      </c>
      <c r="L31" s="75">
        <v>1.2</v>
      </c>
      <c r="M31" s="74">
        <f t="shared" si="2"/>
        <v>414</v>
      </c>
      <c r="N31" s="73">
        <f t="shared" si="1"/>
        <v>10.779869088832577</v>
      </c>
    </row>
    <row r="32" spans="2:14" ht="29" x14ac:dyDescent="0.2">
      <c r="B32" s="60"/>
      <c r="C32" s="60"/>
      <c r="D32" s="85"/>
      <c r="E32" s="76" t="s">
        <v>71</v>
      </c>
      <c r="F32" s="76" t="s">
        <v>126</v>
      </c>
      <c r="G32" s="77" t="s">
        <v>130</v>
      </c>
      <c r="H32" s="77" t="str">
        <f>IF(C19&lt;SQRT((C20*C20)*2),(8*(SQRT(((C19/2)*(C19/2))-((C20/2)*(C20/2)))))+((PI()*C19)-(4*((2*(DEGREES(ACOS((C20/2)/(C19/2)))))*(PI()*C19)/360))),"THE FLAT DISTANCE ABOVE IS TOO SMALL")</f>
        <v>THE FLAT DISTANCE ABOVE IS TOO SMALL</v>
      </c>
      <c r="J32" s="76"/>
      <c r="K32" s="72" t="s">
        <v>108</v>
      </c>
      <c r="L32" s="75">
        <v>1.2</v>
      </c>
      <c r="M32" s="74">
        <f t="shared" si="2"/>
        <v>414</v>
      </c>
      <c r="N32" s="73">
        <f t="shared" si="1"/>
        <v>10.779869088832577</v>
      </c>
    </row>
    <row r="33" spans="5:14" ht="15" x14ac:dyDescent="0.2">
      <c r="E33" s="76" t="s">
        <v>68</v>
      </c>
      <c r="F33" s="76" t="s">
        <v>128</v>
      </c>
      <c r="G33" s="76" t="s">
        <v>127</v>
      </c>
      <c r="H33" s="76" t="str">
        <f>IF(C20&gt;0,2*(C19+C20),"ENTER WIDTH VALUE ABOVE")</f>
        <v>ENTER WIDTH VALUE ABOVE</v>
      </c>
      <c r="J33" s="76"/>
      <c r="K33" s="72" t="s">
        <v>102</v>
      </c>
      <c r="L33" s="72">
        <v>1</v>
      </c>
      <c r="M33" s="74">
        <f t="shared" si="2"/>
        <v>345</v>
      </c>
      <c r="N33" s="73">
        <f t="shared" si="1"/>
        <v>8.983224240693815</v>
      </c>
    </row>
    <row r="34" spans="5:14" ht="15" x14ac:dyDescent="0.2">
      <c r="E34" s="76" t="s">
        <v>5</v>
      </c>
      <c r="F34" s="76" t="s">
        <v>126</v>
      </c>
      <c r="G34" s="77">
        <v>0</v>
      </c>
      <c r="H34" s="77">
        <f>PI()*C19</f>
        <v>79.796453401180742</v>
      </c>
      <c r="J34" s="76"/>
      <c r="K34" s="72" t="s">
        <v>103</v>
      </c>
      <c r="L34" s="72">
        <v>1.1000000000000001</v>
      </c>
      <c r="M34" s="74">
        <f t="shared" si="2"/>
        <v>379.50000000000006</v>
      </c>
      <c r="N34" s="73">
        <f t="shared" si="1"/>
        <v>9.8815466647631975</v>
      </c>
    </row>
    <row r="35" spans="5:14" ht="15" x14ac:dyDescent="0.2">
      <c r="E35" s="76" t="s">
        <v>6</v>
      </c>
      <c r="F35" s="76" t="s">
        <v>127</v>
      </c>
      <c r="G35" s="77">
        <v>0</v>
      </c>
      <c r="H35" s="77">
        <f>4*C19</f>
        <v>101.6</v>
      </c>
      <c r="J35" s="76"/>
      <c r="K35" s="72" t="s">
        <v>104</v>
      </c>
      <c r="L35" s="72">
        <v>1.2</v>
      </c>
      <c r="M35" s="74">
        <f t="shared" si="2"/>
        <v>414</v>
      </c>
      <c r="N35" s="73">
        <f t="shared" si="1"/>
        <v>10.779869088832577</v>
      </c>
    </row>
    <row r="36" spans="5:14" ht="15" x14ac:dyDescent="0.2">
      <c r="E36" s="76"/>
      <c r="F36" s="76"/>
      <c r="G36" s="76"/>
      <c r="H36" s="76"/>
      <c r="K36" s="72" t="s">
        <v>105</v>
      </c>
      <c r="L36" s="72">
        <v>1.3</v>
      </c>
      <c r="M36" s="74">
        <f t="shared" si="2"/>
        <v>448.5</v>
      </c>
      <c r="N36" s="73">
        <f t="shared" si="1"/>
        <v>11.678191512901959</v>
      </c>
    </row>
    <row r="37" spans="5:14" ht="15" x14ac:dyDescent="0.2">
      <c r="K37" s="72" t="s">
        <v>106</v>
      </c>
      <c r="L37" s="72">
        <v>1.4</v>
      </c>
      <c r="M37" s="74">
        <f t="shared" si="2"/>
        <v>482.99999999999994</v>
      </c>
      <c r="N37" s="73">
        <f t="shared" si="1"/>
        <v>12.576513936971338</v>
      </c>
    </row>
    <row r="38" spans="5:14" ht="15" x14ac:dyDescent="0.2">
      <c r="K38" s="72" t="s">
        <v>109</v>
      </c>
      <c r="L38" s="75">
        <v>2.5</v>
      </c>
      <c r="M38" s="74">
        <f t="shared" si="2"/>
        <v>862.5</v>
      </c>
      <c r="N38" s="73">
        <f t="shared" si="1"/>
        <v>22.458060601734537</v>
      </c>
    </row>
    <row r="39" spans="5:14" ht="15" x14ac:dyDescent="0.2">
      <c r="K39" s="72" t="s">
        <v>111</v>
      </c>
      <c r="L39" s="75">
        <v>1.8</v>
      </c>
      <c r="M39" s="74">
        <f t="shared" si="2"/>
        <v>621</v>
      </c>
      <c r="N39" s="73">
        <f t="shared" si="1"/>
        <v>16.169803633248868</v>
      </c>
    </row>
    <row r="40" spans="5:14" ht="15" x14ac:dyDescent="0.2">
      <c r="K40" s="72" t="s">
        <v>110</v>
      </c>
      <c r="L40" s="75">
        <v>2.5</v>
      </c>
      <c r="M40" s="74">
        <f t="shared" si="2"/>
        <v>862.5</v>
      </c>
      <c r="N40" s="73">
        <f t="shared" si="1"/>
        <v>22.458060601734537</v>
      </c>
    </row>
    <row r="41" spans="5:14" ht="15" x14ac:dyDescent="0.2">
      <c r="J41" s="86" t="s">
        <v>140</v>
      </c>
      <c r="K41" s="87" t="s">
        <v>98</v>
      </c>
      <c r="L41" s="87">
        <v>1</v>
      </c>
      <c r="M41" s="88">
        <v>345</v>
      </c>
      <c r="N41" s="89">
        <f t="shared" si="1"/>
        <v>8.983224240693815</v>
      </c>
    </row>
    <row r="42" spans="5:14" ht="15" x14ac:dyDescent="0.2">
      <c r="K42" s="72" t="s">
        <v>100</v>
      </c>
      <c r="L42" s="72">
        <v>1.2</v>
      </c>
      <c r="M42" s="74">
        <f>$M$41*$L42</f>
        <v>414</v>
      </c>
      <c r="N42" s="73">
        <f t="shared" si="1"/>
        <v>10.779869088832577</v>
      </c>
    </row>
  </sheetData>
  <sheetProtection sheet="1" objects="1" scenarios="1" selectLockedCells="1"/>
  <mergeCells count="2">
    <mergeCell ref="B8:C8"/>
    <mergeCell ref="B17:C17"/>
  </mergeCells>
  <conditionalFormatting sqref="C12">
    <cfRule type="expression" dxfId="7" priority="3">
      <formula>$C$11="Other"</formula>
    </cfRule>
  </conditionalFormatting>
  <conditionalFormatting sqref="C20">
    <cfRule type="expression" dxfId="6" priority="2">
      <formula>$B$20&lt;&gt;0</formula>
    </cfRule>
  </conditionalFormatting>
  <conditionalFormatting sqref="B20">
    <cfRule type="cellIs" dxfId="5" priority="1" operator="equal">
      <formula>0</formula>
    </cfRule>
  </conditionalFormatting>
  <dataValidations count="6">
    <dataValidation type="custom" allowBlank="1" showInputMessage="1" showErrorMessage="1" error="Your value is either larger than your first OR too small for the geometric shape" sqref="C20" xr:uid="{00000000-0002-0000-0100-000000000000}">
      <formula1>C20&lt;C19</formula1>
    </dataValidation>
    <dataValidation operator="greaterThan" allowBlank="1" showInputMessage="1" showErrorMessage="1" error="MUST ENTER Shear Strength for &quot;Other&quot; material" sqref="C13" xr:uid="{00000000-0002-0000-0100-000001000000}"/>
    <dataValidation type="decimal" operator="greaterThan" allowBlank="1" showInputMessage="1" showErrorMessage="1" error="Must enter Psi not Ksi" prompt="Enter MPa" sqref="C12" xr:uid="{00000000-0002-0000-0100-000002000000}">
      <formula1>1000</formula1>
    </dataValidation>
    <dataValidation type="list" allowBlank="1" showInputMessage="1" showErrorMessage="1" sqref="C11" xr:uid="{00000000-0002-0000-0100-000003000000}">
      <formula1>$K$8:$K$42</formula1>
    </dataValidation>
    <dataValidation type="custom" allowBlank="1" showInputMessage="1" showErrorMessage="1" sqref="D20" xr:uid="{00000000-0002-0000-0100-000004000000}">
      <formula1>D20&lt;D19</formula1>
    </dataValidation>
    <dataValidation type="list" allowBlank="1" showInputMessage="1" showErrorMessage="1" sqref="C18" xr:uid="{00000000-0002-0000-0100-000005000000}">
      <formula1>$E$27:$E$35</formula1>
    </dataValidation>
  </dataValidations>
  <pageMargins left="0.7" right="0.7" top="0.75" bottom="0.75" header="0.3" footer="0.3"/>
  <pageSetup scale="66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24"/>
  <sheetViews>
    <sheetView topLeftCell="H1" workbookViewId="0">
      <selection activeCell="H16" sqref="H16"/>
    </sheetView>
  </sheetViews>
  <sheetFormatPr baseColWidth="10" defaultColWidth="8.83203125" defaultRowHeight="13" x14ac:dyDescent="0.15"/>
  <cols>
    <col min="1" max="1" width="21.5" customWidth="1"/>
    <col min="2" max="4" width="11.5" customWidth="1"/>
    <col min="6" max="6" width="2" bestFit="1" customWidth="1"/>
    <col min="7" max="7" width="9.1640625" style="1" customWidth="1"/>
    <col min="8" max="8" width="46.83203125" bestFit="1" customWidth="1"/>
    <col min="9" max="9" width="43.6640625" hidden="1" customWidth="1"/>
    <col min="11" max="13" width="9.1640625" style="1" customWidth="1"/>
  </cols>
  <sheetData>
    <row r="1" spans="1:16" x14ac:dyDescent="0.15">
      <c r="A1" s="94" t="str">
        <f>VLOOKUP(F8,G3:H6,2)</f>
        <v>Entering more than two variable may cause a conflict</v>
      </c>
      <c r="B1" s="94"/>
      <c r="C1" s="94"/>
      <c r="D1" s="94"/>
      <c r="E1" s="94"/>
      <c r="K1" s="1" t="s">
        <v>65</v>
      </c>
      <c r="L1" s="1" t="s">
        <v>67</v>
      </c>
      <c r="M1" s="1" t="s">
        <v>66</v>
      </c>
      <c r="N1" s="1" t="s">
        <v>55</v>
      </c>
      <c r="O1" s="1" t="s">
        <v>56</v>
      </c>
      <c r="P1" s="1" t="s">
        <v>55</v>
      </c>
    </row>
    <row r="2" spans="1:16" x14ac:dyDescent="0.15">
      <c r="B2" s="1" t="s">
        <v>49</v>
      </c>
      <c r="C2" s="1" t="s">
        <v>50</v>
      </c>
      <c r="D2" s="1" t="s">
        <v>51</v>
      </c>
      <c r="H2" t="s">
        <v>58</v>
      </c>
      <c r="J2">
        <v>1</v>
      </c>
      <c r="K2" s="58">
        <v>3</v>
      </c>
      <c r="L2" s="58">
        <v>4</v>
      </c>
      <c r="M2" s="1">
        <v>5</v>
      </c>
      <c r="N2" s="1">
        <v>90</v>
      </c>
      <c r="O2" s="1">
        <f>ROUND(DEGREES(ASIN(K2/M2)),0)</f>
        <v>37</v>
      </c>
      <c r="P2" s="1">
        <f>90-O2</f>
        <v>53</v>
      </c>
    </row>
    <row r="3" spans="1:16" x14ac:dyDescent="0.15">
      <c r="A3" t="s">
        <v>52</v>
      </c>
      <c r="B3" s="1">
        <v>3</v>
      </c>
      <c r="C3" s="1">
        <v>4</v>
      </c>
      <c r="D3" s="1">
        <v>0</v>
      </c>
      <c r="F3">
        <f>COUNT(B3:D3)</f>
        <v>3</v>
      </c>
      <c r="G3" s="1">
        <v>1</v>
      </c>
      <c r="H3" t="s">
        <v>59</v>
      </c>
      <c r="J3">
        <v>2</v>
      </c>
      <c r="K3" s="58">
        <f>$B$3</f>
        <v>3</v>
      </c>
      <c r="L3" s="1" t="e">
        <f>SQRT(POWER(M3,2)-POWER(K3,2))</f>
        <v>#NUM!</v>
      </c>
      <c r="M3" s="58">
        <f>$D$3</f>
        <v>0</v>
      </c>
      <c r="N3" s="1">
        <v>90</v>
      </c>
      <c r="P3" s="1">
        <f>ROUND(DEGREES(ASIN(M3/K3)),0)</f>
        <v>0</v>
      </c>
    </row>
    <row r="4" spans="1:16" x14ac:dyDescent="0.15">
      <c r="B4" s="1"/>
      <c r="C4" s="1"/>
      <c r="D4" s="1"/>
      <c r="G4" s="1">
        <v>2</v>
      </c>
      <c r="H4" t="s">
        <v>53</v>
      </c>
      <c r="J4">
        <v>3</v>
      </c>
      <c r="K4" s="1" t="e">
        <f>SQRT(POWER(M4,2)-POWER(L4,2))</f>
        <v>#NUM!</v>
      </c>
      <c r="L4" s="58">
        <f>$C$3</f>
        <v>4</v>
      </c>
      <c r="M4" s="58">
        <f>$D$3</f>
        <v>0</v>
      </c>
      <c r="N4" s="1">
        <v>90</v>
      </c>
    </row>
    <row r="5" spans="1:16" x14ac:dyDescent="0.15">
      <c r="B5" s="1"/>
      <c r="C5" s="1"/>
      <c r="D5" s="1"/>
      <c r="G5" s="1">
        <v>3</v>
      </c>
      <c r="H5" t="s">
        <v>60</v>
      </c>
    </row>
    <row r="6" spans="1:16" x14ac:dyDescent="0.15">
      <c r="B6" s="1" t="s">
        <v>55</v>
      </c>
      <c r="C6" s="1" t="s">
        <v>56</v>
      </c>
      <c r="D6" s="1" t="s">
        <v>57</v>
      </c>
      <c r="G6" s="1">
        <v>4</v>
      </c>
      <c r="H6" t="s">
        <v>64</v>
      </c>
    </row>
    <row r="7" spans="1:16" x14ac:dyDescent="0.15">
      <c r="A7" t="s">
        <v>54</v>
      </c>
      <c r="B7" s="1">
        <v>90</v>
      </c>
      <c r="C7">
        <v>3</v>
      </c>
      <c r="F7">
        <f>COUNT(B7:D7)</f>
        <v>2</v>
      </c>
      <c r="O7">
        <f>K2/M2</f>
        <v>0.6</v>
      </c>
    </row>
    <row r="8" spans="1:16" x14ac:dyDescent="0.15">
      <c r="F8">
        <f>SUM(F3:F7)</f>
        <v>5</v>
      </c>
    </row>
    <row r="9" spans="1:16" x14ac:dyDescent="0.15">
      <c r="H9" t="s">
        <v>61</v>
      </c>
    </row>
    <row r="10" spans="1:16" x14ac:dyDescent="0.15">
      <c r="G10" s="1">
        <v>1</v>
      </c>
      <c r="H10" t="s">
        <v>62</v>
      </c>
      <c r="I10" t="str">
        <f>IF(SUM(B7:D7)&gt;180,"Angle's add up to greater that 180 degrees. Renter","OK")</f>
        <v>OK</v>
      </c>
      <c r="O10">
        <v>0.5</v>
      </c>
    </row>
    <row r="11" spans="1:16" x14ac:dyDescent="0.15">
      <c r="G11" s="1">
        <v>2</v>
      </c>
      <c r="H11" t="s">
        <v>63</v>
      </c>
      <c r="I11" t="str">
        <f>IF(SQRT(SUMSQ(B3,C3))=D3,"OK","Lengths donot comply the pythogoras rules. Reenter")</f>
        <v>Lengths donot comply the pythogoras rules. Reenter</v>
      </c>
      <c r="O11">
        <f>DEGREES(ASIN(O10))</f>
        <v>30.000000000000004</v>
      </c>
    </row>
    <row r="12" spans="1:16" x14ac:dyDescent="0.15">
      <c r="E12" s="1" t="s">
        <v>56</v>
      </c>
      <c r="O12">
        <v>30</v>
      </c>
    </row>
    <row r="13" spans="1:16" x14ac:dyDescent="0.15">
      <c r="O13">
        <f>SIN(O12*PI()/180)</f>
        <v>0.49999999999999994</v>
      </c>
    </row>
    <row r="18" spans="5:8" x14ac:dyDescent="0.15">
      <c r="E18" t="s">
        <v>50</v>
      </c>
      <c r="H18" t="s">
        <v>51</v>
      </c>
    </row>
    <row r="23" spans="5:8" x14ac:dyDescent="0.15">
      <c r="E23" t="s">
        <v>55</v>
      </c>
      <c r="H23" s="1" t="s">
        <v>57</v>
      </c>
    </row>
    <row r="24" spans="5:8" x14ac:dyDescent="0.15">
      <c r="G24" s="1" t="s">
        <v>49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horizontalDpi="300" verticalDpi="300" copie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B9"/>
  <sheetViews>
    <sheetView showRowColHeaders="0" workbookViewId="0">
      <selection activeCell="B14" sqref="B14"/>
    </sheetView>
  </sheetViews>
  <sheetFormatPr baseColWidth="10" defaultColWidth="8.83203125" defaultRowHeight="13" x14ac:dyDescent="0.15"/>
  <cols>
    <col min="1" max="1" width="9.1640625" style="3" customWidth="1"/>
    <col min="2" max="2" width="75.83203125" style="2" customWidth="1"/>
  </cols>
  <sheetData>
    <row r="1" spans="1:2" ht="14" x14ac:dyDescent="0.15">
      <c r="A1" s="3" t="s">
        <v>12</v>
      </c>
      <c r="B1" s="2" t="s">
        <v>11</v>
      </c>
    </row>
    <row r="2" spans="1:2" ht="14" x14ac:dyDescent="0.15">
      <c r="A2" s="4">
        <v>35827</v>
      </c>
      <c r="B2" s="2" t="s">
        <v>13</v>
      </c>
    </row>
    <row r="3" spans="1:2" ht="28" x14ac:dyDescent="0.15">
      <c r="A3" s="4">
        <v>35855</v>
      </c>
      <c r="B3" s="2" t="s">
        <v>14</v>
      </c>
    </row>
    <row r="4" spans="1:2" ht="14" x14ac:dyDescent="0.15">
      <c r="A4" s="4">
        <v>36039</v>
      </c>
      <c r="B4" s="2" t="s">
        <v>15</v>
      </c>
    </row>
    <row r="5" spans="1:2" ht="14" x14ac:dyDescent="0.15">
      <c r="A5" s="4">
        <v>36130</v>
      </c>
      <c r="B5" s="2" t="s">
        <v>16</v>
      </c>
    </row>
    <row r="6" spans="1:2" ht="14" x14ac:dyDescent="0.15">
      <c r="A6" s="4">
        <v>36161</v>
      </c>
      <c r="B6" s="2" t="s">
        <v>17</v>
      </c>
    </row>
    <row r="7" spans="1:2" ht="28" x14ac:dyDescent="0.15">
      <c r="A7" s="4">
        <v>36220</v>
      </c>
      <c r="B7" s="2" t="s">
        <v>18</v>
      </c>
    </row>
    <row r="8" spans="1:2" ht="14" x14ac:dyDescent="0.15">
      <c r="A8" s="4">
        <v>36383</v>
      </c>
      <c r="B8" s="2" t="s">
        <v>44</v>
      </c>
    </row>
    <row r="9" spans="1:2" ht="28" x14ac:dyDescent="0.15">
      <c r="A9" s="4">
        <v>36753</v>
      </c>
      <c r="B9" s="2" t="s">
        <v>46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B1:R43"/>
  <sheetViews>
    <sheetView showGridLines="0" showRowColHeaders="0" zoomScale="75" workbookViewId="0">
      <selection activeCell="T17" sqref="T17"/>
    </sheetView>
  </sheetViews>
  <sheetFormatPr baseColWidth="10" defaultColWidth="9.1640625" defaultRowHeight="13" x14ac:dyDescent="0.15"/>
  <cols>
    <col min="1" max="1" width="5.33203125" style="27" customWidth="1"/>
    <col min="2" max="2" width="28.6640625" style="27" bestFit="1" customWidth="1"/>
    <col min="3" max="3" width="28.83203125" style="27" customWidth="1"/>
    <col min="4" max="4" width="3.6640625" style="27" customWidth="1"/>
    <col min="5" max="5" width="29.83203125" style="27" bestFit="1" customWidth="1"/>
    <col min="6" max="6" width="2.33203125" style="7" hidden="1" customWidth="1"/>
    <col min="7" max="7" width="18.33203125" style="14" hidden="1" customWidth="1"/>
    <col min="8" max="8" width="27" style="14" hidden="1" customWidth="1"/>
    <col min="9" max="9" width="7.5" style="14" hidden="1" customWidth="1"/>
    <col min="10" max="10" width="18.33203125" style="7" hidden="1" customWidth="1"/>
    <col min="11" max="11" width="6.6640625" style="7" hidden="1" customWidth="1"/>
    <col min="12" max="12" width="9.1640625" style="7" hidden="1" customWidth="1"/>
    <col min="13" max="13" width="21.33203125" style="7" hidden="1" customWidth="1"/>
    <col min="14" max="14" width="5.33203125" style="7" hidden="1" customWidth="1"/>
    <col min="15" max="16" width="9.1640625" style="27" hidden="1" customWidth="1"/>
    <col min="17" max="17" width="18.33203125" style="27" hidden="1" customWidth="1"/>
    <col min="18" max="18" width="2.33203125" style="27" hidden="1" customWidth="1"/>
    <col min="19" max="16384" width="9.1640625" style="27"/>
  </cols>
  <sheetData>
    <row r="1" spans="2:18" ht="31.5" customHeight="1" thickBot="1" x14ac:dyDescent="0.2">
      <c r="B1" s="95" t="s">
        <v>48</v>
      </c>
      <c r="C1" s="95"/>
      <c r="D1" s="95"/>
      <c r="E1" s="95"/>
    </row>
    <row r="2" spans="2:18" s="15" customFormat="1" ht="18" x14ac:dyDescent="0.2">
      <c r="C2" s="45" t="s">
        <v>19</v>
      </c>
      <c r="D2" s="16"/>
      <c r="E2" s="53" t="str">
        <f>IF(C16="this countersink is OK","","Recommended Alternative")</f>
        <v>Recommended Alternative</v>
      </c>
      <c r="F2" s="17"/>
      <c r="G2" s="18"/>
      <c r="H2" s="18"/>
      <c r="I2" s="18"/>
      <c r="J2" s="19" t="s">
        <v>2</v>
      </c>
      <c r="K2" s="20"/>
      <c r="L2" s="17"/>
      <c r="M2" s="21" t="s">
        <v>3</v>
      </c>
      <c r="N2" s="17"/>
      <c r="Q2" s="15" t="s">
        <v>47</v>
      </c>
    </row>
    <row r="3" spans="2:18" ht="21.75" customHeight="1" x14ac:dyDescent="0.2">
      <c r="B3" s="22" t="s">
        <v>20</v>
      </c>
      <c r="C3" s="49">
        <v>8.6</v>
      </c>
      <c r="D3" s="23"/>
      <c r="E3" s="46">
        <f>IF(OR(C16="consult an engineer",C16="This countersink is OK"),"",C3)</f>
        <v>8.6</v>
      </c>
      <c r="F3" s="7">
        <v>1</v>
      </c>
      <c r="G3" s="14" t="s">
        <v>27</v>
      </c>
      <c r="H3" s="14">
        <v>100</v>
      </c>
      <c r="J3" s="24">
        <v>0.7</v>
      </c>
      <c r="K3" s="25">
        <v>1</v>
      </c>
      <c r="M3" s="26" t="s">
        <v>1</v>
      </c>
      <c r="N3" s="7">
        <v>3</v>
      </c>
      <c r="Q3" s="14" t="s">
        <v>21</v>
      </c>
      <c r="R3" s="7">
        <v>1</v>
      </c>
    </row>
    <row r="4" spans="2:18" ht="21.75" customHeight="1" x14ac:dyDescent="0.2">
      <c r="B4" s="22" t="s">
        <v>22</v>
      </c>
      <c r="C4" s="49">
        <v>6.6</v>
      </c>
      <c r="D4" s="23"/>
      <c r="E4" s="46">
        <f>IF(C16="Suggest revised MINOR diameter",0.001+C3-((TAN((H13/2)*PI()/180)*C12)*2),"")</f>
        <v>7.1609999999999996</v>
      </c>
      <c r="F4" s="7">
        <v>2</v>
      </c>
      <c r="G4" s="14" t="s">
        <v>28</v>
      </c>
      <c r="H4" s="14">
        <v>110</v>
      </c>
      <c r="J4" s="24">
        <v>0.8</v>
      </c>
      <c r="K4" s="25">
        <v>2</v>
      </c>
      <c r="M4" s="26" t="s">
        <v>0</v>
      </c>
      <c r="N4" s="7">
        <v>2</v>
      </c>
      <c r="Q4" s="14" t="s">
        <v>23</v>
      </c>
      <c r="R4" s="7">
        <v>2</v>
      </c>
    </row>
    <row r="5" spans="2:18" ht="24" customHeight="1" x14ac:dyDescent="0.2">
      <c r="B5" s="10" t="s">
        <v>24</v>
      </c>
      <c r="C5" s="49" t="s">
        <v>25</v>
      </c>
      <c r="D5" s="6"/>
      <c r="E5" s="47">
        <f>IF(E$3="","",H13)</f>
        <v>90</v>
      </c>
      <c r="F5" s="7">
        <v>3</v>
      </c>
      <c r="G5" s="14" t="s">
        <v>29</v>
      </c>
      <c r="H5" s="14">
        <v>120</v>
      </c>
      <c r="J5" s="28">
        <v>0.9</v>
      </c>
      <c r="K5" s="25">
        <v>3</v>
      </c>
      <c r="M5" s="26" t="s">
        <v>4</v>
      </c>
      <c r="N5" s="7">
        <v>1</v>
      </c>
      <c r="Q5" s="14" t="s">
        <v>25</v>
      </c>
      <c r="R5" s="7">
        <v>3</v>
      </c>
    </row>
    <row r="6" spans="2:18" ht="24" customHeight="1" x14ac:dyDescent="0.2">
      <c r="B6" s="13" t="s">
        <v>26</v>
      </c>
      <c r="C6" s="49">
        <v>1.2</v>
      </c>
      <c r="D6" s="6"/>
      <c r="E6" s="46">
        <f>IF(E$3="","",K19)</f>
        <v>1.2</v>
      </c>
      <c r="F6" s="7">
        <v>4</v>
      </c>
      <c r="G6" s="14" t="s">
        <v>21</v>
      </c>
      <c r="H6" s="14">
        <v>80</v>
      </c>
      <c r="J6" s="28">
        <v>1</v>
      </c>
      <c r="K6" s="25">
        <v>4</v>
      </c>
      <c r="M6" s="29">
        <f>VLOOKUP(C7,M3:N5,2)</f>
        <v>1</v>
      </c>
      <c r="Q6" s="14" t="s">
        <v>27</v>
      </c>
      <c r="R6" s="7">
        <v>4</v>
      </c>
    </row>
    <row r="7" spans="2:18" ht="26.25" customHeight="1" thickBot="1" x14ac:dyDescent="0.25">
      <c r="B7" s="10" t="s">
        <v>45</v>
      </c>
      <c r="C7" s="49" t="s">
        <v>4</v>
      </c>
      <c r="D7" s="6"/>
      <c r="E7" s="48" t="str">
        <f>IF(E$3="","",C7)</f>
        <v>Stainess Steel</v>
      </c>
      <c r="F7" s="7">
        <v>5</v>
      </c>
      <c r="G7" s="14" t="s">
        <v>23</v>
      </c>
      <c r="H7" s="14">
        <v>82</v>
      </c>
      <c r="J7" s="28">
        <v>1.2</v>
      </c>
      <c r="K7" s="25">
        <v>5</v>
      </c>
      <c r="Q7" s="14" t="s">
        <v>28</v>
      </c>
      <c r="R7" s="7">
        <v>5</v>
      </c>
    </row>
    <row r="8" spans="2:18" ht="26.25" customHeight="1" x14ac:dyDescent="0.2">
      <c r="B8" s="55" t="str">
        <f>IF(C5=G9,"Enter Non Std Angle","")</f>
        <v/>
      </c>
      <c r="C8" s="54"/>
      <c r="D8" s="9"/>
      <c r="E8" s="31"/>
      <c r="F8" s="7">
        <v>6</v>
      </c>
      <c r="G8" s="14" t="s">
        <v>25</v>
      </c>
      <c r="H8" s="14">
        <v>90</v>
      </c>
      <c r="J8" s="28">
        <v>1.6</v>
      </c>
      <c r="K8" s="25">
        <v>6</v>
      </c>
      <c r="N8" s="8" t="str">
        <f>IF(M6=N3,"Al",IF(M6=N4,"MS","SS"))</f>
        <v>SS</v>
      </c>
      <c r="Q8" s="14" t="s">
        <v>29</v>
      </c>
      <c r="R8" s="7">
        <v>6</v>
      </c>
    </row>
    <row r="9" spans="2:18" ht="24" customHeight="1" x14ac:dyDescent="0.2">
      <c r="B9" s="55" t="str">
        <f>IF(K16=K15,"Enter Non-Std Material Thks","")</f>
        <v/>
      </c>
      <c r="C9" s="54"/>
      <c r="D9" s="32"/>
      <c r="E9" s="31"/>
      <c r="F9" s="7">
        <v>7</v>
      </c>
      <c r="G9" s="14" t="s">
        <v>30</v>
      </c>
      <c r="H9" s="57">
        <f>C8</f>
        <v>0</v>
      </c>
      <c r="J9" s="28">
        <v>2</v>
      </c>
      <c r="K9" s="25">
        <v>7</v>
      </c>
      <c r="Q9" s="14" t="s">
        <v>30</v>
      </c>
      <c r="R9" s="7">
        <v>7</v>
      </c>
    </row>
    <row r="10" spans="2:18" ht="15" customHeight="1" x14ac:dyDescent="0.2">
      <c r="C10" s="32"/>
      <c r="D10" s="32"/>
      <c r="E10" s="31"/>
      <c r="F10" s="7" t="s">
        <v>31</v>
      </c>
      <c r="G10" s="14">
        <v>3</v>
      </c>
      <c r="J10" s="28">
        <v>3</v>
      </c>
      <c r="K10" s="25">
        <v>8</v>
      </c>
    </row>
    <row r="11" spans="2:18" x14ac:dyDescent="0.15">
      <c r="B11" s="27" t="s">
        <v>32</v>
      </c>
      <c r="C11" s="33">
        <f>IF(OR(AND(N8="ss",K19&lt;1,51),AND(N8="ms",K19&lt;2.251),AND(N8="al",K19)),0.85,IF(OR(N8="al",N8="ms",N8="ss"),0.6,"re-enter matl.type"))</f>
        <v>0.6</v>
      </c>
      <c r="D11" s="33"/>
      <c r="E11" s="33">
        <f>IF(E$3="","",C11)</f>
        <v>0.6</v>
      </c>
      <c r="J11" s="28">
        <v>4</v>
      </c>
      <c r="K11" s="25">
        <v>9</v>
      </c>
    </row>
    <row r="12" spans="2:18" x14ac:dyDescent="0.15">
      <c r="B12" s="27" t="s">
        <v>33</v>
      </c>
      <c r="C12" s="34">
        <f>K19*C11</f>
        <v>0.72</v>
      </c>
      <c r="D12" s="34"/>
      <c r="E12" s="34">
        <f>IF(E$3="","",C12)</f>
        <v>0.72</v>
      </c>
      <c r="J12" s="28">
        <v>5</v>
      </c>
      <c r="K12" s="25">
        <v>10</v>
      </c>
    </row>
    <row r="13" spans="2:18" ht="18" x14ac:dyDescent="0.2">
      <c r="B13" s="27" t="s">
        <v>34</v>
      </c>
      <c r="C13" s="33">
        <f>C14/K19</f>
        <v>0.83333333333333337</v>
      </c>
      <c r="D13" s="33"/>
      <c r="E13" s="33">
        <f>IF(E3="","",PRODUCT(E14,POWER(E6,-1)))</f>
        <v>0.59958333333333347</v>
      </c>
      <c r="G13" s="14" t="s">
        <v>35</v>
      </c>
      <c r="H13" s="5">
        <f>VLOOKUP(C5,G3:H9,2)</f>
        <v>90</v>
      </c>
      <c r="I13" s="35"/>
      <c r="J13" s="28">
        <v>6</v>
      </c>
      <c r="K13" s="25">
        <v>11</v>
      </c>
    </row>
    <row r="14" spans="2:18" x14ac:dyDescent="0.15">
      <c r="B14" s="27" t="s">
        <v>36</v>
      </c>
      <c r="C14" s="34">
        <f>((C3-C4)/2)/(TAN((H13/2)*PI()/180))</f>
        <v>1</v>
      </c>
      <c r="D14" s="34"/>
      <c r="E14" s="34">
        <f>IF(E3="","",((E3-E4)/2)/(TAN((E5/2)*PI()/180)))</f>
        <v>0.71950000000000014</v>
      </c>
      <c r="J14" s="36">
        <v>6.35</v>
      </c>
      <c r="K14" s="25">
        <v>12</v>
      </c>
    </row>
    <row r="15" spans="2:18" x14ac:dyDescent="0.15">
      <c r="J15" s="14" t="s">
        <v>30</v>
      </c>
      <c r="K15" s="25">
        <v>13</v>
      </c>
    </row>
    <row r="16" spans="2:18" ht="19" thickBot="1" x14ac:dyDescent="0.25">
      <c r="B16" s="51" t="s">
        <v>37</v>
      </c>
      <c r="C16" s="52" t="str">
        <f>IF(OR(AND(N8="ss",K19&lt;4.01),AND(N8="ms",K19&lt;5.01),AND(N8="al",K19&lt;6.01)),IF(((C3-C4)/2)/(TAN((H13/2)*PI()/180))&lt;(C12+0.01),"This countersink is OK","Suggest revised MINOR diameter"),"consult an engineer")</f>
        <v>Suggest revised MINOR diameter</v>
      </c>
      <c r="D16" s="37"/>
      <c r="E16" s="56" t="str">
        <f>IF(E3="","","This countersink is OK")</f>
        <v>This countersink is OK</v>
      </c>
      <c r="J16" s="24" t="s">
        <v>10</v>
      </c>
      <c r="K16" s="25">
        <f>VLOOKUP(C6,J3:K15,2)</f>
        <v>5</v>
      </c>
    </row>
    <row r="17" spans="2:11" x14ac:dyDescent="0.15">
      <c r="J17" s="38" t="s">
        <v>9</v>
      </c>
      <c r="K17" s="39">
        <f>IF(K16&lt;7,IF(K16=K3,J3,IF(K16=K4,J4,IF(K16=K5,J5,IF(K16=K6,J6,IF(K16=K7,J7,IF(K16=K8,J8)))))),IF(K16=K9,J9,IF(K16=K10,J10,IF(K16=K11,J11,IF(K16=K12,J12,IF(K16=K13,J13,J14))))))</f>
        <v>1.2</v>
      </c>
    </row>
    <row r="18" spans="2:11" ht="19" thickBot="1" x14ac:dyDescent="0.25">
      <c r="B18" s="40" t="s">
        <v>38</v>
      </c>
      <c r="C18" s="50" t="str">
        <f>IF(E3="",SUM(C4,((C3-C4)*0.33)),"N/A")</f>
        <v>N/A</v>
      </c>
      <c r="D18" s="32"/>
      <c r="E18" s="48">
        <f>IF(E3="","",SUM(E4,(E3-E4)*0.33))</f>
        <v>7.6358699999999997</v>
      </c>
    </row>
    <row r="19" spans="2:11" ht="18" x14ac:dyDescent="0.2">
      <c r="G19" s="7"/>
      <c r="H19" s="7"/>
      <c r="J19" s="7" t="s">
        <v>39</v>
      </c>
      <c r="K19" s="8">
        <f>IF(K16=K15,C9,K17)</f>
        <v>1.2</v>
      </c>
    </row>
    <row r="39" spans="2:14" ht="24" customHeight="1" x14ac:dyDescent="0.15">
      <c r="B39" s="41" t="s">
        <v>40</v>
      </c>
      <c r="C39" s="10"/>
      <c r="D39" s="42"/>
      <c r="E39" s="11" t="s">
        <v>11</v>
      </c>
      <c r="J39" s="43"/>
      <c r="K39" s="43"/>
    </row>
    <row r="40" spans="2:14" s="30" customFormat="1" ht="27" customHeight="1" x14ac:dyDescent="0.15">
      <c r="B40" s="41" t="s">
        <v>41</v>
      </c>
      <c r="C40" s="10"/>
      <c r="D40" s="12"/>
      <c r="E40" s="12"/>
      <c r="F40" s="43"/>
      <c r="G40" s="44"/>
      <c r="H40" s="44"/>
      <c r="I40" s="44"/>
      <c r="J40" s="43"/>
      <c r="K40" s="43"/>
      <c r="L40" s="43"/>
      <c r="M40" s="43"/>
      <c r="N40" s="43"/>
    </row>
    <row r="41" spans="2:14" s="30" customFormat="1" ht="27" customHeight="1" x14ac:dyDescent="0.15">
      <c r="B41" s="41" t="s">
        <v>42</v>
      </c>
      <c r="C41" s="10"/>
      <c r="D41" s="12"/>
      <c r="E41" s="12"/>
      <c r="F41" s="43"/>
      <c r="G41" s="44"/>
      <c r="H41" s="44"/>
      <c r="I41" s="44"/>
      <c r="J41" s="43"/>
      <c r="K41" s="43"/>
      <c r="L41" s="43"/>
      <c r="M41" s="43"/>
      <c r="N41" s="43"/>
    </row>
    <row r="42" spans="2:14" s="30" customFormat="1" ht="27" customHeight="1" x14ac:dyDescent="0.15">
      <c r="B42" s="41" t="s">
        <v>43</v>
      </c>
      <c r="C42" s="10"/>
      <c r="D42" s="42"/>
      <c r="E42" s="13"/>
      <c r="F42" s="43"/>
      <c r="G42" s="44"/>
      <c r="H42" s="44"/>
      <c r="I42" s="44"/>
      <c r="J42" s="43"/>
      <c r="K42" s="43"/>
      <c r="L42" s="43"/>
      <c r="M42" s="43"/>
      <c r="N42" s="43"/>
    </row>
    <row r="43" spans="2:14" s="30" customFormat="1" ht="27" customHeight="1" x14ac:dyDescent="0.15">
      <c r="B43" s="27"/>
      <c r="C43" s="27"/>
      <c r="D43" s="27"/>
      <c r="E43" s="27"/>
      <c r="F43" s="43"/>
      <c r="G43" s="44"/>
      <c r="H43" s="44"/>
      <c r="I43" s="44"/>
      <c r="J43" s="7"/>
      <c r="K43" s="7"/>
      <c r="L43" s="43"/>
      <c r="M43" s="43"/>
      <c r="N43" s="43"/>
    </row>
  </sheetData>
  <mergeCells count="1">
    <mergeCell ref="B1:E1"/>
  </mergeCells>
  <phoneticPr fontId="0" type="noConversion"/>
  <conditionalFormatting sqref="B9">
    <cfRule type="expression" dxfId="4" priority="1" stopIfTrue="1">
      <formula>$K$16=$K$15</formula>
    </cfRule>
  </conditionalFormatting>
  <conditionalFormatting sqref="C9">
    <cfRule type="expression" dxfId="3" priority="2" stopIfTrue="1">
      <formula>$K$16=$K$15</formula>
    </cfRule>
  </conditionalFormatting>
  <conditionalFormatting sqref="E2:E7 E16 E18">
    <cfRule type="expression" dxfId="2" priority="3" stopIfTrue="1">
      <formula>$C$16="this countersink is OK"</formula>
    </cfRule>
  </conditionalFormatting>
  <conditionalFormatting sqref="B8">
    <cfRule type="expression" dxfId="1" priority="4" stopIfTrue="1">
      <formula>$C$5=$G$9</formula>
    </cfRule>
  </conditionalFormatting>
  <conditionalFormatting sqref="C8">
    <cfRule type="expression" dxfId="0" priority="5" stopIfTrue="1">
      <formula>$C$5=$G$9</formula>
    </cfRule>
  </conditionalFormatting>
  <dataValidations count="5">
    <dataValidation type="list" allowBlank="1" showInputMessage="1" showErrorMessage="1" promptTitle="Angle" prompt="Select the required angle, or enter a non-standard angle where prompted." sqref="C5" xr:uid="{00000000-0002-0000-0400-000000000000}">
      <formula1>$Q$3:$Q$9</formula1>
    </dataValidation>
    <dataValidation type="list" allowBlank="1" showInputMessage="1" showErrorMessage="1" promptTitle="Material Thickness" prompt="Select the required material thickness from the list, or enter a non standard thickness where prompted." sqref="C6" xr:uid="{00000000-0002-0000-0400-000001000000}">
      <formula1>$J$3:$J$15</formula1>
    </dataValidation>
    <dataValidation type="list" allowBlank="1" showInputMessage="1" showErrorMessage="1" promptTitle="Material Type" prompt="Select the most appropriate material type from the list" sqref="C7" xr:uid="{00000000-0002-0000-0400-000002000000}">
      <formula1>$M$3:$M$5</formula1>
    </dataValidation>
    <dataValidation allowBlank="1" showInputMessage="1" showErrorMessage="1" promptTitle="Major Diameter" prompt="Enter the required major diameter" sqref="C3" xr:uid="{00000000-0002-0000-0400-000003000000}"/>
    <dataValidation allowBlank="1" showInputMessage="1" showErrorMessage="1" promptTitle="Minor Diameter" prompt="Enter the requested minor diameter" sqref="C4" xr:uid="{00000000-0002-0000-0400-000004000000}"/>
  </dataValidations>
  <printOptions horizontalCentered="1"/>
  <pageMargins left="0.75" right="0.75" top="1" bottom="1" header="0.5" footer="0.5"/>
  <pageSetup paperSize="9" scale="96" orientation="portrait" horizontalDpi="4294967292" verticalDpi="300" r:id="rId1"/>
  <headerFooter>
    <oddHeader>&amp;A</oddHead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7173" r:id="rId4">
          <objectPr defaultSize="0" r:id="rId5">
            <anchor moveWithCells="1">
              <from>
                <xdr:col>1</xdr:col>
                <xdr:colOff>254000</xdr:colOff>
                <xdr:row>18</xdr:row>
                <xdr:rowOff>139700</xdr:rowOff>
              </from>
              <to>
                <xdr:col>4</xdr:col>
                <xdr:colOff>1346200</xdr:colOff>
                <xdr:row>36</xdr:row>
                <xdr:rowOff>139700</xdr:rowOff>
              </to>
            </anchor>
          </objectPr>
        </oleObject>
      </mc:Choice>
      <mc:Fallback>
        <oleObject progId="Word.Document.6" shapeId="717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6" name="Button 11">
              <controlPr defaultSize="0" print="0" autoFill="0" autoLine="0" autoPict="0" macro="[0]!Macro1">
                <anchor moveWithCells="1" sizeWithCells="1">
                  <from>
                    <xdr:col>4</xdr:col>
                    <xdr:colOff>88900</xdr:colOff>
                    <xdr:row>7</xdr:row>
                    <xdr:rowOff>50800</xdr:rowOff>
                  </from>
                  <to>
                    <xdr:col>4</xdr:col>
                    <xdr:colOff>2082800</xdr:colOff>
                    <xdr:row>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"/>
  <sheetViews>
    <sheetView workbookViewId="0"/>
  </sheetViews>
  <sheetFormatPr baseColWidth="10" defaultColWidth="11.5" defaultRowHeight="13" x14ac:dyDescent="0.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"/>
  <sheetViews>
    <sheetView workbookViewId="0"/>
  </sheetViews>
  <sheetFormatPr baseColWidth="10" defaultColWidth="11.5" defaultRowHeight="13" x14ac:dyDescent="0.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"/>
  <sheetViews>
    <sheetView workbookViewId="0"/>
  </sheetViews>
  <sheetFormatPr baseColWidth="10" defaultColWidth="11.5" defaultRowHeight="13" x14ac:dyDescent="0.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"/>
  <sheetViews>
    <sheetView workbookViewId="0"/>
  </sheetViews>
  <sheetFormatPr baseColWidth="10" defaultColWidth="11.5" defaultRowHeight="13" x14ac:dyDescent="0.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US units</vt:lpstr>
      <vt:lpstr>Metric units</vt:lpstr>
      <vt:lpstr>Sheet1</vt:lpstr>
      <vt:lpstr>Revision History</vt:lpstr>
      <vt:lpstr>Countersinks</vt:lpstr>
      <vt:lpstr>Countersinks!Print_Area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Spence-Parsons</dc:creator>
  <cp:lastModifiedBy>Bredy, Chrissy</cp:lastModifiedBy>
  <cp:lastPrinted>2000-11-16T14:08:19Z</cp:lastPrinted>
  <dcterms:created xsi:type="dcterms:W3CDTF">1999-05-01T22:12:37Z</dcterms:created>
  <dcterms:modified xsi:type="dcterms:W3CDTF">2020-03-03T19:19:00Z</dcterms:modified>
</cp:coreProperties>
</file>